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nicol\Desktop\Sezioni_trave\Taglio_torsione\"/>
    </mc:Choice>
  </mc:AlternateContent>
  <xr:revisionPtr revIDLastSave="0" documentId="13_ncr:1_{34C6D05F-C4E1-4BD2-929F-5D3AEA2D36DB}" xr6:coauthVersionLast="47" xr6:coauthVersionMax="47" xr10:uidLastSave="{00000000-0000-0000-0000-000000000000}"/>
  <bookViews>
    <workbookView xWindow="-120" yWindow="-120" windowWidth="29040" windowHeight="15720" xr2:uid="{128A207C-D23F-4DFD-AD26-A5997782E480}"/>
  </bookViews>
  <sheets>
    <sheet name="To_1" sheetId="5" r:id="rId1"/>
    <sheet name="To_2" sheetId="9" r:id="rId2"/>
    <sheet name="Ta_1" sheetId="6" r:id="rId3"/>
    <sheet name="Ta_2" sheetId="10" r:id="rId4"/>
    <sheet name="Ta_3" sheetId="11" r:id="rId5"/>
    <sheet name="Ta_4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2" l="1"/>
  <c r="C136" i="12"/>
  <c r="C135" i="12"/>
  <c r="C134" i="12"/>
  <c r="C130" i="12"/>
  <c r="C129" i="12"/>
  <c r="C128" i="12"/>
  <c r="C127" i="12"/>
  <c r="C126" i="12"/>
  <c r="C125" i="12"/>
  <c r="C121" i="12"/>
  <c r="C120" i="12"/>
  <c r="C119" i="12"/>
  <c r="B106" i="12"/>
  <c r="E96" i="12"/>
  <c r="D96" i="12"/>
  <c r="D95" i="12"/>
  <c r="E94" i="12"/>
  <c r="D94" i="12"/>
  <c r="B100" i="12" s="1"/>
  <c r="D51" i="12"/>
  <c r="D50" i="12"/>
  <c r="D49" i="12"/>
  <c r="D28" i="12"/>
  <c r="D27" i="12"/>
  <c r="D26" i="12"/>
  <c r="C87" i="11"/>
  <c r="B86" i="11"/>
  <c r="B87" i="11"/>
  <c r="C86" i="11"/>
  <c r="B80" i="11"/>
  <c r="B72" i="11"/>
  <c r="B73" i="11"/>
  <c r="B71" i="11"/>
  <c r="B65" i="11"/>
  <c r="A72" i="11"/>
  <c r="C86" i="6"/>
  <c r="B86" i="6"/>
  <c r="C85" i="6"/>
  <c r="B85" i="6"/>
  <c r="C89" i="10"/>
  <c r="B89" i="10"/>
  <c r="C88" i="10"/>
  <c r="B88" i="10"/>
  <c r="D51" i="11"/>
  <c r="D50" i="11"/>
  <c r="D49" i="11"/>
  <c r="D28" i="11"/>
  <c r="D27" i="11"/>
  <c r="D26" i="11"/>
  <c r="F53" i="10"/>
  <c r="D53" i="10"/>
  <c r="D52" i="10"/>
  <c r="D51" i="10"/>
  <c r="D50" i="10"/>
  <c r="F29" i="10"/>
  <c r="D28" i="10"/>
  <c r="D29" i="10"/>
  <c r="B36" i="10" s="1"/>
  <c r="B76" i="6"/>
  <c r="B68" i="6"/>
  <c r="B61" i="6"/>
  <c r="B78" i="10"/>
  <c r="D27" i="10"/>
  <c r="D26" i="10"/>
  <c r="D51" i="6"/>
  <c r="D28" i="6"/>
  <c r="F51" i="6"/>
  <c r="F50" i="6"/>
  <c r="D50" i="6"/>
  <c r="D49" i="6"/>
  <c r="F28" i="6"/>
  <c r="F27" i="6"/>
  <c r="D94" i="9"/>
  <c r="C94" i="9"/>
  <c r="B94" i="9"/>
  <c r="D93" i="9"/>
  <c r="C93" i="9"/>
  <c r="B93" i="9"/>
  <c r="B87" i="9"/>
  <c r="D81" i="9"/>
  <c r="B83" i="9"/>
  <c r="B80" i="9"/>
  <c r="B75" i="9"/>
  <c r="D66" i="9"/>
  <c r="E66" i="9"/>
  <c r="B67" i="9"/>
  <c r="E67" i="9" s="1"/>
  <c r="B64" i="9"/>
  <c r="B41" i="9"/>
  <c r="B48" i="9"/>
  <c r="B46" i="9"/>
  <c r="B37" i="9"/>
  <c r="E65" i="9"/>
  <c r="D65" i="9"/>
  <c r="D64" i="9"/>
  <c r="E63" i="9"/>
  <c r="D63" i="9"/>
  <c r="B43" i="5"/>
  <c r="B48" i="5"/>
  <c r="E34" i="5"/>
  <c r="E35" i="5"/>
  <c r="E32" i="5"/>
  <c r="D34" i="5"/>
  <c r="D35" i="5"/>
  <c r="B33" i="5"/>
  <c r="D33" i="5" s="1"/>
  <c r="D27" i="6"/>
  <c r="D26" i="6"/>
  <c r="D32" i="5"/>
  <c r="E95" i="12" l="1"/>
  <c r="B101" i="12" s="1"/>
  <c r="D110" i="12" s="1"/>
  <c r="B35" i="12"/>
  <c r="B34" i="12"/>
  <c r="B31" i="12"/>
  <c r="B35" i="10"/>
  <c r="B35" i="11"/>
  <c r="B31" i="11"/>
  <c r="B34" i="11"/>
  <c r="B32" i="10"/>
  <c r="B35" i="6"/>
  <c r="B34" i="6"/>
  <c r="D67" i="9"/>
  <c r="B52" i="9"/>
  <c r="B55" i="9"/>
  <c r="B56" i="9" s="1"/>
  <c r="D46" i="9"/>
  <c r="D45" i="9"/>
  <c r="D48" i="9"/>
  <c r="D47" i="9"/>
  <c r="E64" i="9"/>
  <c r="B71" i="9" s="1"/>
  <c r="B70" i="9"/>
  <c r="B54" i="5"/>
  <c r="B61" i="5" s="1"/>
  <c r="D49" i="5"/>
  <c r="E33" i="5"/>
  <c r="B39" i="5" s="1"/>
  <c r="D50" i="5" s="1"/>
  <c r="B31" i="6"/>
  <c r="B38" i="5"/>
  <c r="D112" i="12" l="1"/>
  <c r="D111" i="12"/>
  <c r="B38" i="12"/>
  <c r="H51" i="12" s="1"/>
  <c r="B39" i="12"/>
  <c r="B38" i="11"/>
  <c r="H50" i="11" s="1"/>
  <c r="B39" i="11"/>
  <c r="B39" i="10"/>
  <c r="B40" i="10"/>
  <c r="D83" i="9"/>
  <c r="D79" i="9"/>
  <c r="D82" i="9"/>
  <c r="D80" i="9"/>
  <c r="D48" i="5"/>
  <c r="D47" i="5"/>
  <c r="B55" i="5"/>
  <c r="B62" i="5" s="1"/>
  <c r="B38" i="6"/>
  <c r="B39" i="6"/>
  <c r="B79" i="12" l="1"/>
  <c r="A72" i="12"/>
  <c r="B72" i="12" s="1"/>
  <c r="B73" i="12"/>
  <c r="B71" i="12"/>
  <c r="B65" i="12"/>
  <c r="B80" i="12"/>
  <c r="G50" i="12"/>
  <c r="G49" i="12"/>
  <c r="I49" i="12"/>
  <c r="H50" i="12"/>
  <c r="H49" i="12"/>
  <c r="G51" i="12"/>
  <c r="I50" i="12"/>
  <c r="I51" i="12"/>
  <c r="B73" i="10"/>
  <c r="A74" i="10"/>
  <c r="B82" i="10"/>
  <c r="B74" i="10"/>
  <c r="B67" i="10"/>
  <c r="B75" i="10"/>
  <c r="G52" i="10"/>
  <c r="G50" i="11"/>
  <c r="I51" i="11"/>
  <c r="H49" i="11"/>
  <c r="H51" i="11"/>
  <c r="B54" i="11"/>
  <c r="I49" i="11"/>
  <c r="G49" i="11"/>
  <c r="I50" i="11"/>
  <c r="G51" i="11"/>
  <c r="H51" i="10"/>
  <c r="H52" i="10"/>
  <c r="H53" i="10"/>
  <c r="H50" i="10"/>
  <c r="I52" i="10"/>
  <c r="I50" i="10"/>
  <c r="I51" i="10"/>
  <c r="B81" i="10"/>
  <c r="G51" i="10"/>
  <c r="G50" i="10"/>
  <c r="G53" i="10"/>
  <c r="I53" i="10"/>
  <c r="B80" i="6"/>
  <c r="B79" i="6"/>
  <c r="B71" i="6"/>
  <c r="A72" i="6"/>
  <c r="B72" i="6"/>
  <c r="B73" i="6"/>
  <c r="B65" i="6"/>
  <c r="B64" i="6"/>
  <c r="G51" i="6"/>
  <c r="H50" i="6"/>
  <c r="H51" i="6"/>
  <c r="H49" i="6"/>
  <c r="B88" i="9"/>
  <c r="G49" i="6"/>
  <c r="G50" i="6"/>
  <c r="I50" i="6"/>
  <c r="I51" i="6"/>
  <c r="I49" i="6"/>
  <c r="B54" i="12" l="1"/>
  <c r="B53" i="12"/>
  <c r="B53" i="11"/>
  <c r="C73" i="11" s="1"/>
  <c r="B56" i="10"/>
  <c r="B55" i="10"/>
  <c r="C81" i="10" s="1"/>
  <c r="C80" i="6"/>
  <c r="B53" i="6"/>
  <c r="C79" i="6" s="1"/>
  <c r="B54" i="6"/>
  <c r="C79" i="12" l="1"/>
  <c r="C64" i="12"/>
  <c r="C118" i="12" s="1"/>
  <c r="C73" i="12"/>
  <c r="C86" i="12" s="1"/>
  <c r="C80" i="12"/>
  <c r="C71" i="12"/>
  <c r="C65" i="12"/>
  <c r="B86" i="12" s="1"/>
  <c r="C72" i="12"/>
  <c r="C72" i="11"/>
  <c r="C71" i="11"/>
  <c r="C65" i="11"/>
  <c r="C64" i="11"/>
  <c r="C80" i="11"/>
  <c r="C79" i="11"/>
  <c r="C75" i="10"/>
  <c r="C67" i="10"/>
  <c r="C82" i="10"/>
  <c r="C74" i="10"/>
  <c r="C73" i="10"/>
  <c r="C71" i="6"/>
  <c r="C73" i="6"/>
  <c r="C64" i="6"/>
  <c r="C65" i="6"/>
  <c r="C72" i="6"/>
</calcChain>
</file>

<file path=xl/sharedStrings.xml><?xml version="1.0" encoding="utf-8"?>
<sst xmlns="http://schemas.openxmlformats.org/spreadsheetml/2006/main" count="488" uniqueCount="114">
  <si>
    <t>A</t>
  </si>
  <si>
    <t>mm</t>
  </si>
  <si>
    <t>Tema:</t>
  </si>
  <si>
    <t>Partizionamento:</t>
  </si>
  <si>
    <t>Tabella geometria:</t>
  </si>
  <si>
    <t>Figura</t>
  </si>
  <si>
    <t>x'G</t>
  </si>
  <si>
    <t>y'G</t>
  </si>
  <si>
    <t>Sx'</t>
  </si>
  <si>
    <t>Sy'</t>
  </si>
  <si>
    <t>[mm]</t>
  </si>
  <si>
    <r>
      <t>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</si>
  <si>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[-]</t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</si>
  <si>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</si>
  <si>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Calcolo dei momenti statici rispetto agli assi x'-y'</t>
  </si>
  <si>
    <t>Calcolo della posizione del baricentro nel sistema x'-y'</t>
  </si>
  <si>
    <t>Calcolo area totale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</si>
  <si>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</si>
  <si>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</si>
  <si>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x'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</si>
  <si>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</si>
  <si>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</si>
  <si>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</si>
  <si>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Calcolo dei momenti d'inerzia rispetto agli assi x-y (paralleli a x'-y' ma passanti per il baricentro G)</t>
  </si>
  <si>
    <r>
      <t>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</si>
  <si>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xx,i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</si>
  <si>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yy,i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</si>
  <si>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xy,i</t>
    </r>
  </si>
  <si>
    <r>
      <t>I</t>
    </r>
    <r>
      <rPr>
        <vertAlign val="subscript"/>
        <sz val="11"/>
        <color theme="1"/>
        <rFont val="Calibri"/>
        <family val="2"/>
        <scheme val="minor"/>
      </rPr>
      <t>xx</t>
    </r>
  </si>
  <si>
    <r>
      <t>I</t>
    </r>
    <r>
      <rPr>
        <vertAlign val="subscript"/>
        <sz val="11"/>
        <color theme="1"/>
        <rFont val="Calibri"/>
        <family val="2"/>
        <scheme val="minor"/>
      </rPr>
      <t>yy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</si>
  <si>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</si>
  <si>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t>N</t>
  </si>
  <si>
    <t>Nmm</t>
  </si>
  <si>
    <t>MPa</t>
  </si>
  <si>
    <t>LM</t>
  </si>
  <si>
    <t>mm4</t>
  </si>
  <si>
    <t>mm2</t>
  </si>
  <si>
    <t>ESERCIZIO 1: PROFILO SOTTILE APERTO SOGGETTO A TORSIONE</t>
  </si>
  <si>
    <r>
      <t>J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</si>
  <si>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</si>
  <si>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</si>
  <si>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Calcolo area totale e momento d'inerzia torsionale totale</t>
  </si>
  <si>
    <t>J</t>
  </si>
  <si>
    <t>Calcolo sforzo tangenziale nei profili</t>
  </si>
  <si>
    <r>
      <rPr>
        <b/>
        <sz val="11"/>
        <color theme="1"/>
        <rFont val="Calibri"/>
        <family val="2"/>
      </rPr>
      <t>τ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</si>
  <si>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[MPa]</t>
  </si>
  <si>
    <t>M</t>
  </si>
  <si>
    <t xml:space="preserve">Proprietà elastiche e di trave </t>
  </si>
  <si>
    <t>G</t>
  </si>
  <si>
    <t>Lunghezza</t>
  </si>
  <si>
    <t>m</t>
  </si>
  <si>
    <t>Calcolo angolo di torsione</t>
  </si>
  <si>
    <t>β</t>
  </si>
  <si>
    <t>rad</t>
  </si>
  <si>
    <t>°</t>
  </si>
  <si>
    <t>Calcolo angolo di rotazione totale</t>
  </si>
  <si>
    <t>rad/mm</t>
  </si>
  <si>
    <t>°/mm</t>
  </si>
  <si>
    <t>Lungh</t>
  </si>
  <si>
    <t>ϑ</t>
  </si>
  <si>
    <t>Il profilo sottile in figura è soggetto ad un momento torcente Mt=0,75kNm. Calcolare lo sforzo tangenziale agente in ogni ramo del profilo, l'angolo di rotazione unitario (angolo di torsione) e la rotazione totale.</t>
  </si>
  <si>
    <t>ESERCIZIO 1: PROFILO SOTTILE CHIUSO E APERTO SOGGETTO A TORSIONE</t>
  </si>
  <si>
    <t xml:space="preserve">Tema parte 1: profilo originario </t>
  </si>
  <si>
    <t>Tema parte 2: profilo dopo fessurazione per corrosione</t>
  </si>
  <si>
    <t>Analisi del profilo chiuso soggetto a torsione (Formula di Bredt)</t>
  </si>
  <si>
    <t>Calcolo dell'area compresa nella linea media</t>
  </si>
  <si>
    <t>Ω</t>
  </si>
  <si>
    <t>Calcolo dello stato di sforzo nei profili</t>
  </si>
  <si>
    <t>Mt</t>
  </si>
  <si>
    <r>
      <t>Il profilo sottile di ponte riportato in figura (</t>
    </r>
    <r>
      <rPr>
        <u/>
        <sz val="11"/>
        <color theme="1"/>
        <rFont val="Calibri"/>
        <family val="2"/>
        <scheme val="minor"/>
      </rPr>
      <t>dimensioni in cm</t>
    </r>
    <r>
      <rPr>
        <sz val="11"/>
        <color theme="1"/>
        <rFont val="Calibri"/>
        <family val="2"/>
        <scheme val="minor"/>
      </rPr>
      <t>) è soggetto ad un momento torcente di 1500kNm. Si chiede di calcolare lo stato di sforzo in ogni ramo del profilo e l'angolo di torsione. Inoltre, se a causa di fenomeni di corrosione si crea un'apertura nel lato inferiore, calcolare i nuovi stati di sforzo e deformazione. Si consideri G=10000MPa</t>
    </r>
  </si>
  <si>
    <t>Calcolo inerzia torsionale ed angolo di torsione</t>
  </si>
  <si>
    <t>Analisi del profilo aperto soggetto a torsione</t>
  </si>
  <si>
    <t>3 sx</t>
  </si>
  <si>
    <t>3 dx</t>
  </si>
  <si>
    <t>Quantità</t>
  </si>
  <si>
    <t>P.Ap./P.Ch.</t>
  </si>
  <si>
    <t>P. Ap.</t>
  </si>
  <si>
    <t>P. Ch.</t>
  </si>
  <si>
    <r>
      <t>τ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[MPa]</t>
    </r>
  </si>
  <si>
    <t>β [rad/mm]</t>
  </si>
  <si>
    <t>La sezione di trave in figura è soggetta ad un taglio verticale di 18kN. Calcolare l'andamento dello sforzo tangenziale in tutta la sezione</t>
  </si>
  <si>
    <t>Calcolo dello sforzo tangenziale in ogni tratto</t>
  </si>
  <si>
    <t>ESERCIZIO 3: PROFILO COMPATTO SOGGETTO A TAGLIO CENTRATO</t>
  </si>
  <si>
    <t>Tratto eps1</t>
  </si>
  <si>
    <t>b</t>
  </si>
  <si>
    <t>eps 1 [mm]</t>
  </si>
  <si>
    <t>S* [mm3]</t>
  </si>
  <si>
    <t>t [MPa]</t>
  </si>
  <si>
    <t>T</t>
  </si>
  <si>
    <t>Tratto eps2</t>
  </si>
  <si>
    <t>Tratto eps3</t>
  </si>
  <si>
    <t>ESERCIZIO 4: PROFILO COMPATTO SOGGETTO A TAGLIO CENTRATO</t>
  </si>
  <si>
    <t>La sezione di trave in figura è soggetta ad un taglio verticale di 50kN. Calcolare l'andamento dello sforzo tangenziale in tutta la sezione</t>
  </si>
  <si>
    <t>eps 2 [mm]</t>
  </si>
  <si>
    <t>eps 3 [mm]</t>
  </si>
  <si>
    <t>ESERCIZIO 3: PROFILO SOTTILE SOGGETTO A TAGLIO CENTRATO</t>
  </si>
  <si>
    <t>La sezione di trave in figura è soggetta ad un taglio verticale di 25kN. Calcolare l'andamento dello sforzo tangenziale in tutta la sezione</t>
  </si>
  <si>
    <t>1 - 2</t>
  </si>
  <si>
    <t>Interfaccia</t>
  </si>
  <si>
    <t>da sotto</t>
  </si>
  <si>
    <t>da sopra</t>
  </si>
  <si>
    <t>2 - 3</t>
  </si>
  <si>
    <t>Verifica flussi (da verificare in modulo)</t>
  </si>
  <si>
    <t>La sezione di trave in figura è soggetta ad un taglio verticale di 8kN nella posizione di figura. Calcolare l'andamento dello sforzo tangenziale in tutta la sezione</t>
  </si>
  <si>
    <t>Calcolo dello sforzo tangenziale da solo taglio in ogni tratto</t>
  </si>
  <si>
    <t>1 - 2 -&gt; 3</t>
  </si>
  <si>
    <t>Calcolo dello sforzo tangenziale da torsione in ogni tratto</t>
  </si>
  <si>
    <t>lembo</t>
  </si>
  <si>
    <t>sup</t>
  </si>
  <si>
    <t>inf</t>
  </si>
  <si>
    <t>Calcolo sforzo tangenziale totale nei profili (in modulo, segni in figura)</t>
  </si>
  <si>
    <t>destra</t>
  </si>
  <si>
    <t>sinistra</t>
  </si>
  <si>
    <t>ESERCIZIO 6: PROFILO SOTTILE SOGGETTO A TAGLIO ECCENTRICO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</si>
</sst>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ck">
        <color rgb="FF002060"/>
      </right>
      <top/>
      <bottom style="thick">
        <color rgb="FF00206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justify"/>
    </xf>
    <xf numFmtId="165" fontId="0" fillId="0" borderId="0" xfId="0" applyNumberFormat="1"/>
    <xf numFmtId="0" fontId="0" fillId="0" borderId="0" xfId="0" applyAlignment="1">
      <alignment vertical="justify" wrapText="1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8" fillId="0" borderId="0" xfId="0" applyFont="1"/>
    <xf numFmtId="11" fontId="0" fillId="0" borderId="0" xfId="0" applyNumberFormat="1"/>
    <xf numFmtId="166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/>
    <xf numFmtId="11" fontId="0" fillId="0" borderId="2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0" borderId="1" xfId="0" applyNumberFormat="1" applyBorder="1"/>
    <xf numFmtId="164" fontId="0" fillId="0" borderId="1" xfId="0" applyNumberFormat="1" applyBorder="1"/>
    <xf numFmtId="0" fontId="6" fillId="0" borderId="1" xfId="0" applyFont="1" applyBorder="1"/>
    <xf numFmtId="11" fontId="0" fillId="0" borderId="1" xfId="0" applyNumberFormat="1" applyBorder="1"/>
    <xf numFmtId="164" fontId="0" fillId="0" borderId="0" xfId="0" applyNumberFormat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vertical="justify" wrapText="1"/>
    </xf>
    <xf numFmtId="49" fontId="0" fillId="0" borderId="0" xfId="0" applyNumberFormat="1"/>
    <xf numFmtId="49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7</xdr:row>
      <xdr:rowOff>176666</xdr:rowOff>
    </xdr:from>
    <xdr:to>
      <xdr:col>5</xdr:col>
      <xdr:colOff>168088</xdr:colOff>
      <xdr:row>26</xdr:row>
      <xdr:rowOff>110578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41A905A-DA1F-3DFC-5F18-4A49BD463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1719716"/>
          <a:ext cx="3311338" cy="3553412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37</xdr:row>
      <xdr:rowOff>147637</xdr:rowOff>
    </xdr:from>
    <xdr:ext cx="1122102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FB5C981-A476-01A2-EF15-3D4C4F1F19E6}"/>
                </a:ext>
              </a:extLst>
            </xdr:cNvPr>
            <xdr:cNvSpPr txBox="1"/>
          </xdr:nvSpPr>
          <xdr:spPr>
            <a:xfrm>
              <a:off x="2105025" y="745331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Sup>
                          <m:sSubSup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FFB5C981-A476-01A2-EF15-3D4C4F1F19E6}"/>
                </a:ext>
              </a:extLst>
            </xdr:cNvPr>
            <xdr:cNvSpPr txBox="1"/>
          </xdr:nvSpPr>
          <xdr:spPr>
            <a:xfrm>
              <a:off x="2105025" y="745331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𝐽=1/3 ∑26_(𝑖=1)^4▒〖𝐿_𝑖⋅𝑡_𝑖^3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45</xdr:row>
      <xdr:rowOff>114300</xdr:rowOff>
    </xdr:from>
    <xdr:ext cx="61036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B794E5AD-FDE0-48D9-B5BA-2D493469B420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𝐽</m:t>
                        </m:r>
                      </m:den>
                    </m:f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B794E5AD-FDE0-48D9-B5BA-2D493469B420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=𝑀_𝑡/𝐽 𝑡_𝑖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409575</xdr:colOff>
      <xdr:row>52</xdr:row>
      <xdr:rowOff>57150</xdr:rowOff>
    </xdr:from>
    <xdr:ext cx="47109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90218396-21EA-42CA-915C-F7575688A634}"/>
                </a:ext>
              </a:extLst>
            </xdr:cNvPr>
            <xdr:cNvSpPr txBox="1"/>
          </xdr:nvSpPr>
          <xdr:spPr>
            <a:xfrm>
              <a:off x="2419350" y="10344150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𝐺𝐽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90218396-21EA-42CA-915C-F7575688A634}"/>
                </a:ext>
              </a:extLst>
            </xdr:cNvPr>
            <xdr:cNvSpPr txBox="1"/>
          </xdr:nvSpPr>
          <xdr:spPr>
            <a:xfrm>
              <a:off x="2419350" y="10344150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</a:t>
              </a:r>
              <a:r>
                <a:rPr lang="it-IT" sz="1100" b="0" i="0">
                  <a:latin typeface="Cambria Math" panose="02040503050406030204" pitchFamily="18" charset="0"/>
                </a:rPr>
                <a:t>=𝑀_𝑡/𝐺𝐽</a:t>
              </a:r>
              <a:endParaRPr lang="it-IT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6</xdr:row>
      <xdr:rowOff>53520</xdr:rowOff>
    </xdr:from>
    <xdr:to>
      <xdr:col>6</xdr:col>
      <xdr:colOff>489940</xdr:colOff>
      <xdr:row>18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E9F8E79-EF53-4EC8-9435-ED1148491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199" y="1577520"/>
          <a:ext cx="4613075" cy="2232480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69</xdr:row>
      <xdr:rowOff>147637</xdr:rowOff>
    </xdr:from>
    <xdr:ext cx="1122102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A118DE56-352B-4A3E-9279-99594FD7046B}"/>
                </a:ext>
              </a:extLst>
            </xdr:cNvPr>
            <xdr:cNvSpPr txBox="1"/>
          </xdr:nvSpPr>
          <xdr:spPr>
            <a:xfrm>
              <a:off x="2105025" y="745331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Sup>
                          <m:sSubSup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A118DE56-352B-4A3E-9279-99594FD7046B}"/>
                </a:ext>
              </a:extLst>
            </xdr:cNvPr>
            <xdr:cNvSpPr txBox="1"/>
          </xdr:nvSpPr>
          <xdr:spPr>
            <a:xfrm>
              <a:off x="2105025" y="745331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𝐽=1/3 ∑26_(𝑖=1)^4▒〖𝐿_𝑖⋅𝑡_𝑖^3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77</xdr:row>
      <xdr:rowOff>114300</xdr:rowOff>
    </xdr:from>
    <xdr:ext cx="61036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6A14CDA0-9596-4B47-9678-40E711E76B51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𝐽</m:t>
                        </m:r>
                      </m:den>
                    </m:f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6A14CDA0-9596-4B47-9678-40E711E76B51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=𝑀_𝑡/𝐽 𝑡_𝑖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409575</xdr:colOff>
      <xdr:row>85</xdr:row>
      <xdr:rowOff>57150</xdr:rowOff>
    </xdr:from>
    <xdr:ext cx="47109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EB08295F-6111-4130-A649-4D5BA8B030CD}"/>
                </a:ext>
              </a:extLst>
            </xdr:cNvPr>
            <xdr:cNvSpPr txBox="1"/>
          </xdr:nvSpPr>
          <xdr:spPr>
            <a:xfrm>
              <a:off x="2419350" y="10344150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𝐺𝐽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EB08295F-6111-4130-A649-4D5BA8B030CD}"/>
                </a:ext>
              </a:extLst>
            </xdr:cNvPr>
            <xdr:cNvSpPr txBox="1"/>
          </xdr:nvSpPr>
          <xdr:spPr>
            <a:xfrm>
              <a:off x="2419350" y="10344150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</a:t>
              </a:r>
              <a:r>
                <a:rPr lang="it-IT" sz="1100" b="0" i="0">
                  <a:latin typeface="Cambria Math" panose="02040503050406030204" pitchFamily="18" charset="0"/>
                </a:rPr>
                <a:t>=𝑀_𝑡/𝐺𝐽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5387</xdr:colOff>
      <xdr:row>19</xdr:row>
      <xdr:rowOff>57150</xdr:rowOff>
    </xdr:from>
    <xdr:to>
      <xdr:col>6</xdr:col>
      <xdr:colOff>408354</xdr:colOff>
      <xdr:row>31</xdr:row>
      <xdr:rowOff>3630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3AF3E02-32BC-4A3B-BA83-D8FC7171D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87" y="4057650"/>
          <a:ext cx="4602301" cy="2232480"/>
        </a:xfrm>
        <a:prstGeom prst="rect">
          <a:avLst/>
        </a:prstGeom>
      </xdr:spPr>
    </xdr:pic>
    <xdr:clientData/>
  </xdr:twoCellAnchor>
  <xdr:oneCellAnchor>
    <xdr:from>
      <xdr:col>4</xdr:col>
      <xdr:colOff>219075</xdr:colOff>
      <xdr:row>43</xdr:row>
      <xdr:rowOff>114300</xdr:rowOff>
    </xdr:from>
    <xdr:ext cx="800091" cy="3454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2801BEA5-8D01-4842-A707-B955A4D47D01}"/>
                </a:ext>
              </a:extLst>
            </xdr:cNvPr>
            <xdr:cNvSpPr txBox="1"/>
          </xdr:nvSpPr>
          <xdr:spPr>
            <a:xfrm>
              <a:off x="2874169" y="8341519"/>
              <a:ext cx="800091" cy="3454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l-GR" sz="1100" b="0" i="1">
                            <a:latin typeface="Cambria Math" panose="02040503050406030204" pitchFamily="18" charset="0"/>
                          </a:rPr>
                          <m:t>𝛺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2801BEA5-8D01-4842-A707-B955A4D47D01}"/>
                </a:ext>
              </a:extLst>
            </xdr:cNvPr>
            <xdr:cNvSpPr txBox="1"/>
          </xdr:nvSpPr>
          <xdr:spPr>
            <a:xfrm>
              <a:off x="2874169" y="8341519"/>
              <a:ext cx="800091" cy="3454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=𝑀_𝑡/(2</a:t>
              </a:r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el-GR" sz="1100" b="0" i="0">
                  <a:latin typeface="Cambria Math" panose="02040503050406030204" pitchFamily="18" charset="0"/>
                </a:rPr>
                <a:t>𝛺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〖∙𝑡〗_𝑖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398860</xdr:colOff>
      <xdr:row>50</xdr:row>
      <xdr:rowOff>101203</xdr:rowOff>
    </xdr:from>
    <xdr:ext cx="1090042" cy="3523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6C9A9C8C-2EB4-4741-A1B0-54EE507303D2}"/>
                </a:ext>
              </a:extLst>
            </xdr:cNvPr>
            <xdr:cNvSpPr txBox="1"/>
          </xdr:nvSpPr>
          <xdr:spPr>
            <a:xfrm>
              <a:off x="2405063" y="10042922"/>
              <a:ext cx="1090042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=4</m:t>
                    </m:r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𝛺</m:t>
                        </m:r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  <m:e>
                        <m:f>
                          <m:f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den>
                        </m:f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6C9A9C8C-2EB4-4741-A1B0-54EE507303D2}"/>
                </a:ext>
              </a:extLst>
            </xdr:cNvPr>
            <xdr:cNvSpPr txBox="1"/>
          </xdr:nvSpPr>
          <xdr:spPr>
            <a:xfrm>
              <a:off x="2405063" y="10042922"/>
              <a:ext cx="1090042" cy="3523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=4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𝛺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it-IT" sz="1100" b="0" i="0">
                  <a:latin typeface="Cambria Math" panose="02040503050406030204" pitchFamily="18" charset="0"/>
                </a:rPr>
                <a:t>2 ∑26_(𝑖=1)^4▒𝑡_𝑖/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333374</xdr:colOff>
      <xdr:row>54</xdr:row>
      <xdr:rowOff>11906</xdr:rowOff>
    </xdr:from>
    <xdr:ext cx="471090" cy="34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F2E239C6-43F0-4903-A7CA-06A955371E3F}"/>
                </a:ext>
              </a:extLst>
            </xdr:cNvPr>
            <xdr:cNvSpPr txBox="1"/>
          </xdr:nvSpPr>
          <xdr:spPr>
            <a:xfrm>
              <a:off x="2339577" y="10715625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𝐺𝐽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F2E239C6-43F0-4903-A7CA-06A955371E3F}"/>
                </a:ext>
              </a:extLst>
            </xdr:cNvPr>
            <xdr:cNvSpPr txBox="1"/>
          </xdr:nvSpPr>
          <xdr:spPr>
            <a:xfrm>
              <a:off x="2339577" y="10715625"/>
              <a:ext cx="47109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</a:t>
              </a:r>
              <a:r>
                <a:rPr lang="it-IT" sz="1100" b="0" i="0">
                  <a:latin typeface="Cambria Math" panose="02040503050406030204" pitchFamily="18" charset="0"/>
                </a:rPr>
                <a:t>=𝑀_𝑡/𝐺𝐽</a:t>
              </a:r>
              <a:endParaRPr lang="it-IT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33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8819454-E0B4-43BD-8A56-669C665BC31C}"/>
                </a:ext>
              </a:extLst>
            </xdr:cNvPr>
            <xdr:cNvSpPr txBox="1"/>
          </xdr:nvSpPr>
          <xdr:spPr>
            <a:xfrm>
              <a:off x="3153965" y="7212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8819454-E0B4-43BD-8A56-669C665BC31C}"/>
                </a:ext>
              </a:extLst>
            </xdr:cNvPr>
            <xdr:cNvSpPr txBox="1"/>
          </xdr:nvSpPr>
          <xdr:spPr>
            <a:xfrm>
              <a:off x="3153965" y="7212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33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371A19A-1F7F-4E41-BFD9-B2A8BCA57945}"/>
                </a:ext>
              </a:extLst>
            </xdr:cNvPr>
            <xdr:cNvSpPr txBox="1"/>
          </xdr:nvSpPr>
          <xdr:spPr>
            <a:xfrm>
              <a:off x="4400550" y="7210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371A19A-1F7F-4E41-BFD9-B2A8BCA57945}"/>
                </a:ext>
              </a:extLst>
            </xdr:cNvPr>
            <xdr:cNvSpPr txBox="1"/>
          </xdr:nvSpPr>
          <xdr:spPr>
            <a:xfrm>
              <a:off x="4400550" y="7210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37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517B83F-22B2-41D7-BF7A-872EF3D2DCB6}"/>
                </a:ext>
              </a:extLst>
            </xdr:cNvPr>
            <xdr:cNvSpPr txBox="1"/>
          </xdr:nvSpPr>
          <xdr:spPr>
            <a:xfrm>
              <a:off x="3221650" y="8020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517B83F-22B2-41D7-BF7A-872EF3D2DCB6}"/>
                </a:ext>
              </a:extLst>
            </xdr:cNvPr>
            <xdr:cNvSpPr txBox="1"/>
          </xdr:nvSpPr>
          <xdr:spPr>
            <a:xfrm>
              <a:off x="3221650" y="8020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37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909EE42-7FD8-4F85-B55E-51B6AD75EDAD}"/>
                </a:ext>
              </a:extLst>
            </xdr:cNvPr>
            <xdr:cNvSpPr txBox="1"/>
          </xdr:nvSpPr>
          <xdr:spPr>
            <a:xfrm>
              <a:off x="4103809" y="8018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909EE42-7FD8-4F85-B55E-51B6AD75EDAD}"/>
                </a:ext>
              </a:extLst>
            </xdr:cNvPr>
            <xdr:cNvSpPr txBox="1"/>
          </xdr:nvSpPr>
          <xdr:spPr>
            <a:xfrm>
              <a:off x="4103809" y="8018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41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A57C005F-32DC-4D79-B9F4-C0CE8779AF33}"/>
                </a:ext>
              </a:extLst>
            </xdr:cNvPr>
            <xdr:cNvSpPr txBox="1"/>
          </xdr:nvSpPr>
          <xdr:spPr>
            <a:xfrm>
              <a:off x="117231" y="8861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A57C005F-32DC-4D79-B9F4-C0CE8779AF33}"/>
                </a:ext>
              </a:extLst>
            </xdr:cNvPr>
            <xdr:cNvSpPr txBox="1"/>
          </xdr:nvSpPr>
          <xdr:spPr>
            <a:xfrm>
              <a:off x="117231" y="8861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43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A518FFF6-8C3E-4AC5-B657-9B31CDFC3CE4}"/>
                </a:ext>
              </a:extLst>
            </xdr:cNvPr>
            <xdr:cNvSpPr txBox="1"/>
          </xdr:nvSpPr>
          <xdr:spPr>
            <a:xfrm>
              <a:off x="117230" y="9256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A518FFF6-8C3E-4AC5-B657-9B31CDFC3CE4}"/>
                </a:ext>
              </a:extLst>
            </xdr:cNvPr>
            <xdr:cNvSpPr txBox="1"/>
          </xdr:nvSpPr>
          <xdr:spPr>
            <a:xfrm>
              <a:off x="117230" y="9256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42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510FFB62-075C-40C9-BD8A-8E225A6E693B}"/>
                </a:ext>
              </a:extLst>
            </xdr:cNvPr>
            <xdr:cNvSpPr txBox="1"/>
          </xdr:nvSpPr>
          <xdr:spPr>
            <a:xfrm>
              <a:off x="2603256" y="9073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510FFB62-075C-40C9-BD8A-8E225A6E693B}"/>
                </a:ext>
              </a:extLst>
            </xdr:cNvPr>
            <xdr:cNvSpPr txBox="1"/>
          </xdr:nvSpPr>
          <xdr:spPr>
            <a:xfrm>
              <a:off x="2603256" y="9073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79752</xdr:colOff>
      <xdr:row>6</xdr:row>
      <xdr:rowOff>19051</xdr:rowOff>
    </xdr:from>
    <xdr:to>
      <xdr:col>3</xdr:col>
      <xdr:colOff>478098</xdr:colOff>
      <xdr:row>21</xdr:row>
      <xdr:rowOff>25059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3A93DA94-DED4-1861-7587-88C58FF07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52" y="1343026"/>
          <a:ext cx="2474796" cy="2863508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6</xdr:row>
      <xdr:rowOff>63287</xdr:rowOff>
    </xdr:from>
    <xdr:to>
      <xdr:col>7</xdr:col>
      <xdr:colOff>453075</xdr:colOff>
      <xdr:row>21</xdr:row>
      <xdr:rowOff>127717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F9841CCF-94B0-018A-19EB-2F5A9903A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0" y="1387262"/>
          <a:ext cx="2520000" cy="292193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58</xdr:row>
      <xdr:rowOff>155029</xdr:rowOff>
    </xdr:from>
    <xdr:to>
      <xdr:col>8</xdr:col>
      <xdr:colOff>300675</xdr:colOff>
      <xdr:row>72</xdr:row>
      <xdr:rowOff>138000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EC64DFD-5E0E-41F8-9414-6DE1FBB7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1375" y="11356429"/>
          <a:ext cx="2520000" cy="26499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34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660B3743-B3C3-4DF6-AB23-B0BCE2341983}"/>
                </a:ext>
              </a:extLst>
            </xdr:cNvPr>
            <xdr:cNvSpPr txBox="1"/>
          </xdr:nvSpPr>
          <xdr:spPr>
            <a:xfrm>
              <a:off x="3220640" y="6612731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660B3743-B3C3-4DF6-AB23-B0BCE2341983}"/>
                </a:ext>
              </a:extLst>
            </xdr:cNvPr>
            <xdr:cNvSpPr txBox="1"/>
          </xdr:nvSpPr>
          <xdr:spPr>
            <a:xfrm>
              <a:off x="3220640" y="6612731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34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D5126566-05BF-41D5-A9D8-4391818D6885}"/>
                </a:ext>
              </a:extLst>
            </xdr:cNvPr>
            <xdr:cNvSpPr txBox="1"/>
          </xdr:nvSpPr>
          <xdr:spPr>
            <a:xfrm>
              <a:off x="4524375" y="6610350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D5126566-05BF-41D5-A9D8-4391818D6885}"/>
                </a:ext>
              </a:extLst>
            </xdr:cNvPr>
            <xdr:cNvSpPr txBox="1"/>
          </xdr:nvSpPr>
          <xdr:spPr>
            <a:xfrm>
              <a:off x="4524375" y="6610350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38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480591D1-6B01-4322-8F40-54C03C6397FE}"/>
                </a:ext>
              </a:extLst>
            </xdr:cNvPr>
            <xdr:cNvSpPr txBox="1"/>
          </xdr:nvSpPr>
          <xdr:spPr>
            <a:xfrm>
              <a:off x="3288325" y="742089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480591D1-6B01-4322-8F40-54C03C6397FE}"/>
                </a:ext>
              </a:extLst>
            </xdr:cNvPr>
            <xdr:cNvSpPr txBox="1"/>
          </xdr:nvSpPr>
          <xdr:spPr>
            <a:xfrm>
              <a:off x="3288325" y="742089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38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14EFF346-CA54-4FE9-8C47-28B729EFB572}"/>
                </a:ext>
              </a:extLst>
            </xdr:cNvPr>
            <xdr:cNvSpPr txBox="1"/>
          </xdr:nvSpPr>
          <xdr:spPr>
            <a:xfrm>
              <a:off x="4227634" y="741851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14EFF346-CA54-4FE9-8C47-28B729EFB572}"/>
                </a:ext>
              </a:extLst>
            </xdr:cNvPr>
            <xdr:cNvSpPr txBox="1"/>
          </xdr:nvSpPr>
          <xdr:spPr>
            <a:xfrm>
              <a:off x="4227634" y="741851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42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DF7BED6E-70B3-478E-9E2C-013F022B010F}"/>
                </a:ext>
              </a:extLst>
            </xdr:cNvPr>
            <xdr:cNvSpPr txBox="1"/>
          </xdr:nvSpPr>
          <xdr:spPr>
            <a:xfrm>
              <a:off x="117231" y="826110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DF7BED6E-70B3-478E-9E2C-013F022B010F}"/>
                </a:ext>
              </a:extLst>
            </xdr:cNvPr>
            <xdr:cNvSpPr txBox="1"/>
          </xdr:nvSpPr>
          <xdr:spPr>
            <a:xfrm>
              <a:off x="117231" y="826110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44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FC8A4F9-DFC3-4221-B14A-53B93E93E778}"/>
                </a:ext>
              </a:extLst>
            </xdr:cNvPr>
            <xdr:cNvSpPr txBox="1"/>
          </xdr:nvSpPr>
          <xdr:spPr>
            <a:xfrm>
              <a:off x="117230" y="865675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FC8A4F9-DFC3-4221-B14A-53B93E93E778}"/>
                </a:ext>
              </a:extLst>
            </xdr:cNvPr>
            <xdr:cNvSpPr txBox="1"/>
          </xdr:nvSpPr>
          <xdr:spPr>
            <a:xfrm>
              <a:off x="117230" y="865675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43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6BD9F4F9-58C8-48EA-9274-4031DB3397DC}"/>
                </a:ext>
              </a:extLst>
            </xdr:cNvPr>
            <xdr:cNvSpPr txBox="1"/>
          </xdr:nvSpPr>
          <xdr:spPr>
            <a:xfrm>
              <a:off x="2669931" y="847358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6BD9F4F9-58C8-48EA-9274-4031DB3397DC}"/>
                </a:ext>
              </a:extLst>
            </xdr:cNvPr>
            <xdr:cNvSpPr txBox="1"/>
          </xdr:nvSpPr>
          <xdr:spPr>
            <a:xfrm>
              <a:off x="2669931" y="847358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177696</xdr:colOff>
      <xdr:row>6</xdr:row>
      <xdr:rowOff>19051</xdr:rowOff>
    </xdr:from>
    <xdr:to>
      <xdr:col>3</xdr:col>
      <xdr:colOff>380153</xdr:colOff>
      <xdr:row>21</xdr:row>
      <xdr:rowOff>25059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02DCBF5-B3A4-4466-B1C6-901BC683B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696" y="1162051"/>
          <a:ext cx="2278907" cy="2863508"/>
        </a:xfrm>
        <a:prstGeom prst="rect">
          <a:avLst/>
        </a:prstGeom>
      </xdr:spPr>
    </xdr:pic>
    <xdr:clientData/>
  </xdr:twoCellAnchor>
  <xdr:twoCellAnchor editAs="oneCell">
    <xdr:from>
      <xdr:col>4</xdr:col>
      <xdr:colOff>184171</xdr:colOff>
      <xdr:row>6</xdr:row>
      <xdr:rowOff>63287</xdr:rowOff>
    </xdr:from>
    <xdr:to>
      <xdr:col>7</xdr:col>
      <xdr:colOff>354629</xdr:colOff>
      <xdr:row>21</xdr:row>
      <xdr:rowOff>127717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9DDF5748-D4DA-4924-A2E3-353DCBB5B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08321" y="1206287"/>
          <a:ext cx="2323108" cy="2921930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56977</xdr:rowOff>
    </xdr:from>
    <xdr:to>
      <xdr:col>7</xdr:col>
      <xdr:colOff>684808</xdr:colOff>
      <xdr:row>73</xdr:row>
      <xdr:rowOff>102702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4DB38A62-5681-4488-93D5-F807D73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38500" y="11458402"/>
          <a:ext cx="2323108" cy="2903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33</xdr:row>
      <xdr:rowOff>50006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2A9D8FCF-CA96-402C-AE9A-A4890F7F78B9}"/>
                </a:ext>
              </a:extLst>
            </xdr:cNvPr>
            <xdr:cNvSpPr txBox="1"/>
          </xdr:nvSpPr>
          <xdr:spPr>
            <a:xfrm>
              <a:off x="3220640" y="6450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2A9D8FCF-CA96-402C-AE9A-A4890F7F78B9}"/>
                </a:ext>
              </a:extLst>
            </xdr:cNvPr>
            <xdr:cNvSpPr txBox="1"/>
          </xdr:nvSpPr>
          <xdr:spPr>
            <a:xfrm>
              <a:off x="3220640" y="6450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33</xdr:row>
      <xdr:rowOff>47625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32E4117C-479B-4D18-A467-B81DC925C9C3}"/>
                </a:ext>
              </a:extLst>
            </xdr:cNvPr>
            <xdr:cNvSpPr txBox="1"/>
          </xdr:nvSpPr>
          <xdr:spPr>
            <a:xfrm>
              <a:off x="4524375" y="6448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32E4117C-479B-4D18-A467-B81DC925C9C3}"/>
                </a:ext>
              </a:extLst>
            </xdr:cNvPr>
            <xdr:cNvSpPr txBox="1"/>
          </xdr:nvSpPr>
          <xdr:spPr>
            <a:xfrm>
              <a:off x="4524375" y="6448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37</xdr:row>
      <xdr:rowOff>39015</xdr:rowOff>
    </xdr:from>
    <xdr:ext cx="569515" cy="3235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ECC16389-BCC1-4BE6-9828-B4E0C8639755}"/>
                </a:ext>
              </a:extLst>
            </xdr:cNvPr>
            <xdr:cNvSpPr txBox="1"/>
          </xdr:nvSpPr>
          <xdr:spPr>
            <a:xfrm>
              <a:off x="3288325" y="7258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ECC16389-BCC1-4BE6-9828-B4E0C8639755}"/>
                </a:ext>
              </a:extLst>
            </xdr:cNvPr>
            <xdr:cNvSpPr txBox="1"/>
          </xdr:nvSpPr>
          <xdr:spPr>
            <a:xfrm>
              <a:off x="3288325" y="7258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37</xdr:row>
      <xdr:rowOff>36635</xdr:rowOff>
    </xdr:from>
    <xdr:ext cx="580415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52F40E12-CC56-4DD2-9021-67916D1B3AC0}"/>
                </a:ext>
              </a:extLst>
            </xdr:cNvPr>
            <xdr:cNvSpPr txBox="1"/>
          </xdr:nvSpPr>
          <xdr:spPr>
            <a:xfrm>
              <a:off x="4227634" y="7256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52F40E12-CC56-4DD2-9021-67916D1B3AC0}"/>
                </a:ext>
              </a:extLst>
            </xdr:cNvPr>
            <xdr:cNvSpPr txBox="1"/>
          </xdr:nvSpPr>
          <xdr:spPr>
            <a:xfrm>
              <a:off x="4227634" y="7256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41</xdr:row>
      <xdr:rowOff>117231</xdr:rowOff>
    </xdr:from>
    <xdr:ext cx="210416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CDE38317-4227-43B0-883B-207E11BE6769}"/>
                </a:ext>
              </a:extLst>
            </xdr:cNvPr>
            <xdr:cNvSpPr txBox="1"/>
          </xdr:nvSpPr>
          <xdr:spPr>
            <a:xfrm>
              <a:off x="117231" y="8099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CDE38317-4227-43B0-883B-207E11BE6769}"/>
                </a:ext>
              </a:extLst>
            </xdr:cNvPr>
            <xdr:cNvSpPr txBox="1"/>
          </xdr:nvSpPr>
          <xdr:spPr>
            <a:xfrm>
              <a:off x="117231" y="8099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43</xdr:row>
      <xdr:rowOff>131884</xdr:rowOff>
    </xdr:from>
    <xdr:ext cx="206370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D5EDE2B2-D14F-4B77-85A8-8A5FE0B5531A}"/>
                </a:ext>
              </a:extLst>
            </xdr:cNvPr>
            <xdr:cNvSpPr txBox="1"/>
          </xdr:nvSpPr>
          <xdr:spPr>
            <a:xfrm>
              <a:off x="117230" y="8494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D5EDE2B2-D14F-4B77-85A8-8A5FE0B5531A}"/>
                </a:ext>
              </a:extLst>
            </xdr:cNvPr>
            <xdr:cNvSpPr txBox="1"/>
          </xdr:nvSpPr>
          <xdr:spPr>
            <a:xfrm>
              <a:off x="117230" y="8494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42</xdr:row>
      <xdr:rowOff>139212</xdr:rowOff>
    </xdr:from>
    <xdr:ext cx="1841210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D095B6FE-21B0-4637-A2C0-744DE5262FC7}"/>
                </a:ext>
              </a:extLst>
            </xdr:cNvPr>
            <xdr:cNvSpPr txBox="1"/>
          </xdr:nvSpPr>
          <xdr:spPr>
            <a:xfrm>
              <a:off x="2669931" y="8311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D095B6FE-21B0-4637-A2C0-744DE5262FC7}"/>
                </a:ext>
              </a:extLst>
            </xdr:cNvPr>
            <xdr:cNvSpPr txBox="1"/>
          </xdr:nvSpPr>
          <xdr:spPr>
            <a:xfrm>
              <a:off x="2669931" y="8311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136763</xdr:colOff>
      <xdr:row>6</xdr:row>
      <xdr:rowOff>19051</xdr:rowOff>
    </xdr:from>
    <xdr:to>
      <xdr:col>3</xdr:col>
      <xdr:colOff>542925</xdr:colOff>
      <xdr:row>21</xdr:row>
      <xdr:rowOff>172843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D36A40DA-26C7-4033-A75D-C536A30D1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763" y="1181101"/>
          <a:ext cx="2482612" cy="3011292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137088</xdr:rowOff>
    </xdr:from>
    <xdr:to>
      <xdr:col>7</xdr:col>
      <xdr:colOff>672862</xdr:colOff>
      <xdr:row>73</xdr:row>
      <xdr:rowOff>54802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C20E2545-09FF-4964-9F99-ED2CC2EF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67050" y="11367063"/>
          <a:ext cx="2482612" cy="296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33</xdr:row>
      <xdr:rowOff>50006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D39AD669-5D88-4449-A2E1-62089765D854}"/>
                </a:ext>
              </a:extLst>
            </xdr:cNvPr>
            <xdr:cNvSpPr txBox="1"/>
          </xdr:nvSpPr>
          <xdr:spPr>
            <a:xfrm>
              <a:off x="3220640" y="6450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D39AD669-5D88-4449-A2E1-62089765D854}"/>
                </a:ext>
              </a:extLst>
            </xdr:cNvPr>
            <xdr:cNvSpPr txBox="1"/>
          </xdr:nvSpPr>
          <xdr:spPr>
            <a:xfrm>
              <a:off x="3220640" y="6450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33</xdr:row>
      <xdr:rowOff>47625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5E831417-89D2-4AB7-A37B-76D4F08C53D2}"/>
                </a:ext>
              </a:extLst>
            </xdr:cNvPr>
            <xdr:cNvSpPr txBox="1"/>
          </xdr:nvSpPr>
          <xdr:spPr>
            <a:xfrm>
              <a:off x="4524375" y="6448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5E831417-89D2-4AB7-A37B-76D4F08C53D2}"/>
                </a:ext>
              </a:extLst>
            </xdr:cNvPr>
            <xdr:cNvSpPr txBox="1"/>
          </xdr:nvSpPr>
          <xdr:spPr>
            <a:xfrm>
              <a:off x="4524375" y="6448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37</xdr:row>
      <xdr:rowOff>39015</xdr:rowOff>
    </xdr:from>
    <xdr:ext cx="569515" cy="3235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627711F-F1A8-4494-8EF5-6740FB3CB8DA}"/>
                </a:ext>
              </a:extLst>
            </xdr:cNvPr>
            <xdr:cNvSpPr txBox="1"/>
          </xdr:nvSpPr>
          <xdr:spPr>
            <a:xfrm>
              <a:off x="3288325" y="7258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627711F-F1A8-4494-8EF5-6740FB3CB8DA}"/>
                </a:ext>
              </a:extLst>
            </xdr:cNvPr>
            <xdr:cNvSpPr txBox="1"/>
          </xdr:nvSpPr>
          <xdr:spPr>
            <a:xfrm>
              <a:off x="3288325" y="7258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37</xdr:row>
      <xdr:rowOff>36635</xdr:rowOff>
    </xdr:from>
    <xdr:ext cx="580415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20F3F9F1-705A-4CC8-81C9-4E1DCD79BBEE}"/>
                </a:ext>
              </a:extLst>
            </xdr:cNvPr>
            <xdr:cNvSpPr txBox="1"/>
          </xdr:nvSpPr>
          <xdr:spPr>
            <a:xfrm>
              <a:off x="4227634" y="7256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20F3F9F1-705A-4CC8-81C9-4E1DCD79BBEE}"/>
                </a:ext>
              </a:extLst>
            </xdr:cNvPr>
            <xdr:cNvSpPr txBox="1"/>
          </xdr:nvSpPr>
          <xdr:spPr>
            <a:xfrm>
              <a:off x="4227634" y="7256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41</xdr:row>
      <xdr:rowOff>117231</xdr:rowOff>
    </xdr:from>
    <xdr:ext cx="210416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C170E277-EE4D-4C3C-B1AD-48D83B810846}"/>
                </a:ext>
              </a:extLst>
            </xdr:cNvPr>
            <xdr:cNvSpPr txBox="1"/>
          </xdr:nvSpPr>
          <xdr:spPr>
            <a:xfrm>
              <a:off x="117231" y="8099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C170E277-EE4D-4C3C-B1AD-48D83B810846}"/>
                </a:ext>
              </a:extLst>
            </xdr:cNvPr>
            <xdr:cNvSpPr txBox="1"/>
          </xdr:nvSpPr>
          <xdr:spPr>
            <a:xfrm>
              <a:off x="117231" y="8099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43</xdr:row>
      <xdr:rowOff>131884</xdr:rowOff>
    </xdr:from>
    <xdr:ext cx="206370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9CD640CB-7C87-4226-8735-974DE95B7DC6}"/>
                </a:ext>
              </a:extLst>
            </xdr:cNvPr>
            <xdr:cNvSpPr txBox="1"/>
          </xdr:nvSpPr>
          <xdr:spPr>
            <a:xfrm>
              <a:off x="117230" y="8494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9CD640CB-7C87-4226-8735-974DE95B7DC6}"/>
                </a:ext>
              </a:extLst>
            </xdr:cNvPr>
            <xdr:cNvSpPr txBox="1"/>
          </xdr:nvSpPr>
          <xdr:spPr>
            <a:xfrm>
              <a:off x="117230" y="8494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42</xdr:row>
      <xdr:rowOff>139212</xdr:rowOff>
    </xdr:from>
    <xdr:ext cx="1841210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D5DB9AF1-DFCC-4DEF-A6ED-E26EAC8086B7}"/>
                </a:ext>
              </a:extLst>
            </xdr:cNvPr>
            <xdr:cNvSpPr txBox="1"/>
          </xdr:nvSpPr>
          <xdr:spPr>
            <a:xfrm>
              <a:off x="2669931" y="8311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D5DB9AF1-DFCC-4DEF-A6ED-E26EAC8086B7}"/>
                </a:ext>
              </a:extLst>
            </xdr:cNvPr>
            <xdr:cNvSpPr txBox="1"/>
          </xdr:nvSpPr>
          <xdr:spPr>
            <a:xfrm>
              <a:off x="2669931" y="8311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155813</xdr:colOff>
      <xdr:row>6</xdr:row>
      <xdr:rowOff>148954</xdr:rowOff>
    </xdr:from>
    <xdr:to>
      <xdr:col>6</xdr:col>
      <xdr:colOff>704409</xdr:colOff>
      <xdr:row>20</xdr:row>
      <xdr:rowOff>9525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E223A25A-10C6-4602-8459-63D94708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813" y="1311004"/>
          <a:ext cx="4549096" cy="2527571"/>
        </a:xfrm>
        <a:prstGeom prst="rect">
          <a:avLst/>
        </a:prstGeom>
      </xdr:spPr>
    </xdr:pic>
    <xdr:clientData/>
  </xdr:twoCellAnchor>
  <xdr:twoCellAnchor editAs="oneCell">
    <xdr:from>
      <xdr:col>3</xdr:col>
      <xdr:colOff>605117</xdr:colOff>
      <xdr:row>60</xdr:row>
      <xdr:rowOff>11099</xdr:rowOff>
    </xdr:from>
    <xdr:to>
      <xdr:col>10</xdr:col>
      <xdr:colOff>257242</xdr:colOff>
      <xdr:row>72</xdr:row>
      <xdr:rowOff>185649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C018B199-7BCC-4E8E-A7E1-FDDCF9CCD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78205" y="11833305"/>
          <a:ext cx="4549096" cy="2460550"/>
        </a:xfrm>
        <a:prstGeom prst="rect">
          <a:avLst/>
        </a:prstGeom>
      </xdr:spPr>
    </xdr:pic>
    <xdr:clientData/>
  </xdr:twoCellAnchor>
  <xdr:oneCellAnchor>
    <xdr:from>
      <xdr:col>3</xdr:col>
      <xdr:colOff>95250</xdr:colOff>
      <xdr:row>99</xdr:row>
      <xdr:rowOff>147637</xdr:rowOff>
    </xdr:from>
    <xdr:ext cx="1122102" cy="3456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435F7FBC-E4B8-4CA9-A566-FDD6581D1ABE}"/>
                </a:ext>
              </a:extLst>
            </xdr:cNvPr>
            <xdr:cNvSpPr txBox="1"/>
          </xdr:nvSpPr>
          <xdr:spPr>
            <a:xfrm>
              <a:off x="2190750" y="1375886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𝐽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Sup>
                          <m:sSubSup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435F7FBC-E4B8-4CA9-A566-FDD6581D1ABE}"/>
                </a:ext>
              </a:extLst>
            </xdr:cNvPr>
            <xdr:cNvSpPr txBox="1"/>
          </xdr:nvSpPr>
          <xdr:spPr>
            <a:xfrm>
              <a:off x="2190750" y="13758862"/>
              <a:ext cx="1122102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𝐽=1/3 ∑2_(𝑖=1)^4▒〖𝐿_𝑖⋅𝑡_𝑖^3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108</xdr:row>
      <xdr:rowOff>114300</xdr:rowOff>
    </xdr:from>
    <xdr:ext cx="610360" cy="34246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27DC8C8E-9EDB-4020-9BA4-D9A57F1A2F31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𝜏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𝐽</m:t>
                        </m:r>
                      </m:den>
                    </m:f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27DC8C8E-9EDB-4020-9BA4-D9A57F1A2F31}"/>
                </a:ext>
              </a:extLst>
            </xdr:cNvPr>
            <xdr:cNvSpPr txBox="1"/>
          </xdr:nvSpPr>
          <xdr:spPr>
            <a:xfrm>
              <a:off x="2876550" y="9039225"/>
              <a:ext cx="610360" cy="34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𝜏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</a:t>
              </a:r>
              <a:r>
                <a:rPr lang="it-IT" sz="1100" b="0" i="0">
                  <a:latin typeface="Cambria Math" panose="02040503050406030204" pitchFamily="18" charset="0"/>
                </a:rPr>
                <a:t>=𝑀_𝑡/𝐽 𝑡_𝑖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3</xdr:col>
      <xdr:colOff>619942</xdr:colOff>
      <xdr:row>117</xdr:row>
      <xdr:rowOff>156882</xdr:rowOff>
    </xdr:from>
    <xdr:to>
      <xdr:col>10</xdr:col>
      <xdr:colOff>502284</xdr:colOff>
      <xdr:row>134</xdr:row>
      <xdr:rowOff>11205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80CF255D-2774-4FE7-B932-1FF229041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93030" y="23005676"/>
          <a:ext cx="4779313" cy="3092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DB40-B122-4A9D-8E84-3F9E5779BB94}">
  <sheetPr codeName="Foglio1"/>
  <dimension ref="A1:I62"/>
  <sheetViews>
    <sheetView tabSelected="1" zoomScaleNormal="100" workbookViewId="0">
      <selection activeCell="A41" sqref="A41:F50"/>
    </sheetView>
  </sheetViews>
  <sheetFormatPr defaultRowHeight="15" x14ac:dyDescent="0.25"/>
  <cols>
    <col min="2" max="2" width="11.85546875" customWidth="1"/>
    <col min="4" max="4" width="9.7109375" bestFit="1" customWidth="1"/>
    <col min="5" max="5" width="11.5703125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37</v>
      </c>
    </row>
    <row r="3" spans="1:9" ht="16.5" customHeight="1" x14ac:dyDescent="0.25">
      <c r="A3" s="46" t="s">
        <v>60</v>
      </c>
      <c r="B3" s="46"/>
      <c r="C3" s="46"/>
      <c r="D3" s="46"/>
      <c r="E3" s="46"/>
      <c r="F3" s="46"/>
      <c r="G3" s="46"/>
      <c r="H3" s="46"/>
      <c r="I3" s="25"/>
    </row>
    <row r="4" spans="1:9" ht="30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6" spans="1:9" x14ac:dyDescent="0.25">
      <c r="A6" s="2" t="s">
        <v>2</v>
      </c>
      <c r="F6" s="2"/>
    </row>
    <row r="9" spans="1:9" x14ac:dyDescent="0.25">
      <c r="G9" t="s">
        <v>47</v>
      </c>
    </row>
    <row r="11" spans="1:9" x14ac:dyDescent="0.25">
      <c r="G11" s="36" t="s">
        <v>48</v>
      </c>
      <c r="H11">
        <v>80000</v>
      </c>
      <c r="I11" t="s">
        <v>33</v>
      </c>
    </row>
    <row r="12" spans="1:9" x14ac:dyDescent="0.25">
      <c r="G12" s="36" t="s">
        <v>49</v>
      </c>
      <c r="H12">
        <v>3</v>
      </c>
      <c r="I12" t="s">
        <v>50</v>
      </c>
    </row>
    <row r="29" spans="1:5" x14ac:dyDescent="0.25">
      <c r="A29" s="2" t="s">
        <v>4</v>
      </c>
    </row>
    <row r="30" spans="1:5" ht="18" x14ac:dyDescent="0.35">
      <c r="A30" s="4" t="s">
        <v>34</v>
      </c>
      <c r="B30" s="4" t="s">
        <v>39</v>
      </c>
      <c r="C30" s="4" t="s">
        <v>40</v>
      </c>
      <c r="D30" s="4" t="s">
        <v>20</v>
      </c>
      <c r="E30" s="4" t="s">
        <v>38</v>
      </c>
    </row>
    <row r="31" spans="1:5" ht="15.75" customHeight="1" x14ac:dyDescent="0.25">
      <c r="A31" s="5" t="s">
        <v>12</v>
      </c>
      <c r="B31" s="5" t="s">
        <v>10</v>
      </c>
      <c r="C31" s="5" t="s">
        <v>10</v>
      </c>
      <c r="D31" s="5" t="s">
        <v>11</v>
      </c>
      <c r="E31" s="5" t="s">
        <v>24</v>
      </c>
    </row>
    <row r="32" spans="1:5" x14ac:dyDescent="0.25">
      <c r="A32" s="3">
        <v>1</v>
      </c>
      <c r="B32" s="3">
        <v>250</v>
      </c>
      <c r="C32" s="3">
        <v>10</v>
      </c>
      <c r="D32" s="3">
        <f>B32*C32</f>
        <v>2500</v>
      </c>
      <c r="E32" s="35">
        <f>1/3*B32*C32^3</f>
        <v>83333.333333333328</v>
      </c>
    </row>
    <row r="33" spans="1:5" x14ac:dyDescent="0.25">
      <c r="A33" s="1">
        <v>2</v>
      </c>
      <c r="B33" s="1">
        <f>160*2</f>
        <v>320</v>
      </c>
      <c r="C33" s="1">
        <v>12</v>
      </c>
      <c r="D33" s="3">
        <f t="shared" ref="D33:D35" si="0">B33*C33</f>
        <v>3840</v>
      </c>
      <c r="E33" s="35">
        <f t="shared" ref="E33:E35" si="1">1/3*B33*C33^3</f>
        <v>184319.99999999997</v>
      </c>
    </row>
    <row r="34" spans="1:5" x14ac:dyDescent="0.25">
      <c r="A34" s="1">
        <v>3</v>
      </c>
      <c r="B34" s="1">
        <v>80</v>
      </c>
      <c r="C34" s="1">
        <v>6</v>
      </c>
      <c r="D34" s="3">
        <f t="shared" si="0"/>
        <v>480</v>
      </c>
      <c r="E34" s="35">
        <f t="shared" si="1"/>
        <v>5759.9999999999991</v>
      </c>
    </row>
    <row r="35" spans="1:5" x14ac:dyDescent="0.25">
      <c r="A35" s="1">
        <v>4</v>
      </c>
      <c r="B35" s="1">
        <v>160</v>
      </c>
      <c r="C35" s="1">
        <v>8</v>
      </c>
      <c r="D35" s="3">
        <f t="shared" si="0"/>
        <v>1280</v>
      </c>
      <c r="E35" s="35">
        <f t="shared" si="1"/>
        <v>27306.666666666664</v>
      </c>
    </row>
    <row r="37" spans="1:5" x14ac:dyDescent="0.25">
      <c r="A37" s="2" t="s">
        <v>41</v>
      </c>
    </row>
    <row r="38" spans="1:5" ht="17.25" x14ac:dyDescent="0.25">
      <c r="A38" t="s">
        <v>0</v>
      </c>
      <c r="B38">
        <f>SUM(D32:D35)</f>
        <v>8100</v>
      </c>
      <c r="C38" t="s">
        <v>17</v>
      </c>
    </row>
    <row r="39" spans="1:5" ht="17.25" x14ac:dyDescent="0.25">
      <c r="A39" t="s">
        <v>42</v>
      </c>
      <c r="B39" s="7">
        <f>SUM(E32:E35)</f>
        <v>300720</v>
      </c>
      <c r="C39" t="s">
        <v>30</v>
      </c>
    </row>
    <row r="41" spans="1:5" x14ac:dyDescent="0.25">
      <c r="A41" s="2" t="s">
        <v>43</v>
      </c>
    </row>
    <row r="42" spans="1:5" x14ac:dyDescent="0.25">
      <c r="A42" s="2"/>
    </row>
    <row r="43" spans="1:5" x14ac:dyDescent="0.25">
      <c r="A43" t="s">
        <v>46</v>
      </c>
      <c r="B43">
        <f>0.75*1000*1000</f>
        <v>750000</v>
      </c>
      <c r="C43" t="s">
        <v>32</v>
      </c>
    </row>
    <row r="44" spans="1:5" x14ac:dyDescent="0.25">
      <c r="A44" s="2"/>
    </row>
    <row r="45" spans="1:5" ht="18" x14ac:dyDescent="0.35">
      <c r="A45" s="4" t="s">
        <v>34</v>
      </c>
      <c r="B45" s="4" t="s">
        <v>39</v>
      </c>
      <c r="C45" s="4" t="s">
        <v>40</v>
      </c>
      <c r="D45" s="4" t="s">
        <v>44</v>
      </c>
    </row>
    <row r="46" spans="1:5" ht="17.25" x14ac:dyDescent="0.25">
      <c r="A46" s="5" t="s">
        <v>12</v>
      </c>
      <c r="B46" s="5" t="s">
        <v>10</v>
      </c>
      <c r="C46" s="5" t="s">
        <v>10</v>
      </c>
      <c r="D46" s="5" t="s">
        <v>45</v>
      </c>
    </row>
    <row r="47" spans="1:5" x14ac:dyDescent="0.25">
      <c r="A47" s="3">
        <v>1</v>
      </c>
      <c r="B47" s="3">
        <v>250</v>
      </c>
      <c r="C47" s="3">
        <v>10</v>
      </c>
      <c r="D47" s="35">
        <f>$B$43/$B$39*C47</f>
        <v>24.940143655227452</v>
      </c>
    </row>
    <row r="48" spans="1:5" x14ac:dyDescent="0.25">
      <c r="A48" s="1">
        <v>2</v>
      </c>
      <c r="B48" s="1">
        <f>160*2</f>
        <v>320</v>
      </c>
      <c r="C48" s="1">
        <v>12</v>
      </c>
      <c r="D48" s="35">
        <f t="shared" ref="D48:D50" si="2">$B$43/$B$39*C48</f>
        <v>29.928172386272944</v>
      </c>
    </row>
    <row r="49" spans="1:4" x14ac:dyDescent="0.25">
      <c r="A49" s="1">
        <v>3</v>
      </c>
      <c r="B49" s="1">
        <v>80</v>
      </c>
      <c r="C49" s="1">
        <v>6</v>
      </c>
      <c r="D49" s="35">
        <f t="shared" si="2"/>
        <v>14.964086193136472</v>
      </c>
    </row>
    <row r="50" spans="1:4" x14ac:dyDescent="0.25">
      <c r="A50" s="1">
        <v>4</v>
      </c>
      <c r="B50" s="1">
        <v>160</v>
      </c>
      <c r="C50" s="1">
        <v>8</v>
      </c>
      <c r="D50" s="35">
        <f t="shared" si="2"/>
        <v>19.952114924181963</v>
      </c>
    </row>
    <row r="52" spans="1:4" x14ac:dyDescent="0.25">
      <c r="A52" s="2" t="s">
        <v>51</v>
      </c>
    </row>
    <row r="54" spans="1:4" x14ac:dyDescent="0.25">
      <c r="A54" s="23" t="s">
        <v>52</v>
      </c>
      <c r="B54" s="33">
        <f>B43/(B39*H11)</f>
        <v>3.1175179569034317E-5</v>
      </c>
      <c r="C54" t="s">
        <v>56</v>
      </c>
    </row>
    <row r="55" spans="1:4" x14ac:dyDescent="0.25">
      <c r="A55" s="23" t="s">
        <v>52</v>
      </c>
      <c r="B55" s="33">
        <f>B54*180/3.1415</f>
        <v>1.7862588962044171E-3</v>
      </c>
      <c r="C55" t="s">
        <v>57</v>
      </c>
    </row>
    <row r="57" spans="1:4" x14ac:dyDescent="0.25">
      <c r="A57" s="2" t="s">
        <v>55</v>
      </c>
    </row>
    <row r="59" spans="1:4" x14ac:dyDescent="0.25">
      <c r="A59" t="s">
        <v>58</v>
      </c>
      <c r="B59">
        <v>3000</v>
      </c>
      <c r="C59" t="s">
        <v>1</v>
      </c>
    </row>
    <row r="61" spans="1:4" x14ac:dyDescent="0.25">
      <c r="A61" s="23" t="s">
        <v>59</v>
      </c>
      <c r="B61" s="37">
        <f>B59*B54</f>
        <v>9.3525538707102951E-2</v>
      </c>
      <c r="C61" t="s">
        <v>53</v>
      </c>
    </row>
    <row r="62" spans="1:4" x14ac:dyDescent="0.25">
      <c r="A62" s="23" t="s">
        <v>59</v>
      </c>
      <c r="B62" s="37">
        <f>B55*B59</f>
        <v>5.3587766886132515</v>
      </c>
      <c r="C62" t="s">
        <v>54</v>
      </c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B244-261B-4ABC-91DA-316D262A8BD3}">
  <sheetPr codeName="Foglio2"/>
  <dimension ref="A1:I108"/>
  <sheetViews>
    <sheetView zoomScaleNormal="100" workbookViewId="0">
      <selection activeCell="A69" sqref="A69:E72"/>
    </sheetView>
  </sheetViews>
  <sheetFormatPr defaultRowHeight="15" x14ac:dyDescent="0.25"/>
  <cols>
    <col min="1" max="1" width="10.42578125" customWidth="1"/>
    <col min="2" max="2" width="11.85546875" customWidth="1"/>
    <col min="4" max="4" width="9.7109375" bestFit="1" customWidth="1"/>
    <col min="5" max="5" width="12.7109375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61</v>
      </c>
    </row>
    <row r="3" spans="1:9" ht="16.5" customHeight="1" x14ac:dyDescent="0.25">
      <c r="A3" s="46" t="s">
        <v>69</v>
      </c>
      <c r="B3" s="46"/>
      <c r="C3" s="46"/>
      <c r="D3" s="46"/>
      <c r="E3" s="46"/>
      <c r="F3" s="46"/>
      <c r="G3" s="46"/>
      <c r="H3" s="46"/>
      <c r="I3" s="25"/>
    </row>
    <row r="4" spans="1:9" ht="43.5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6" spans="1:9" x14ac:dyDescent="0.25">
      <c r="A6" s="32" t="s">
        <v>62</v>
      </c>
      <c r="F6" s="2"/>
    </row>
    <row r="11" spans="1:9" x14ac:dyDescent="0.25">
      <c r="G11" s="36"/>
    </row>
    <row r="12" spans="1:9" x14ac:dyDescent="0.25">
      <c r="G12" s="36"/>
    </row>
    <row r="19" spans="1:1" x14ac:dyDescent="0.25">
      <c r="A19" s="32" t="s">
        <v>63</v>
      </c>
    </row>
    <row r="33" spans="1:4" x14ac:dyDescent="0.25">
      <c r="A33" s="32" t="s">
        <v>64</v>
      </c>
    </row>
    <row r="34" spans="1:4" x14ac:dyDescent="0.25">
      <c r="A34" s="2"/>
    </row>
    <row r="35" spans="1:4" x14ac:dyDescent="0.25">
      <c r="A35" s="2" t="s">
        <v>65</v>
      </c>
    </row>
    <row r="36" spans="1:4" x14ac:dyDescent="0.25">
      <c r="A36" s="2"/>
    </row>
    <row r="37" spans="1:4" x14ac:dyDescent="0.25">
      <c r="A37" s="23" t="s">
        <v>66</v>
      </c>
      <c r="B37">
        <f>(6000+3000)*2000/2</f>
        <v>9000000</v>
      </c>
      <c r="C37" t="s">
        <v>36</v>
      </c>
    </row>
    <row r="38" spans="1:4" x14ac:dyDescent="0.25">
      <c r="A38" s="2"/>
    </row>
    <row r="39" spans="1:4" x14ac:dyDescent="0.25">
      <c r="A39" s="2" t="s">
        <v>67</v>
      </c>
    </row>
    <row r="40" spans="1:4" x14ac:dyDescent="0.25">
      <c r="A40" s="2"/>
    </row>
    <row r="41" spans="1:4" x14ac:dyDescent="0.25">
      <c r="A41" t="s">
        <v>68</v>
      </c>
      <c r="B41">
        <f>1500*10^6</f>
        <v>1500000000</v>
      </c>
      <c r="C41" t="s">
        <v>32</v>
      </c>
    </row>
    <row r="42" spans="1:4" x14ac:dyDescent="0.25">
      <c r="A42" s="2"/>
    </row>
    <row r="43" spans="1:4" ht="18" x14ac:dyDescent="0.35">
      <c r="A43" s="4" t="s">
        <v>34</v>
      </c>
      <c r="B43" s="4" t="s">
        <v>39</v>
      </c>
      <c r="C43" s="4" t="s">
        <v>40</v>
      </c>
      <c r="D43" s="4" t="s">
        <v>44</v>
      </c>
    </row>
    <row r="44" spans="1:4" x14ac:dyDescent="0.25">
      <c r="A44" s="5" t="s">
        <v>12</v>
      </c>
      <c r="B44" s="5" t="s">
        <v>10</v>
      </c>
      <c r="C44" s="5" t="s">
        <v>10</v>
      </c>
      <c r="D44" s="5" t="s">
        <v>45</v>
      </c>
    </row>
    <row r="45" spans="1:4" x14ac:dyDescent="0.25">
      <c r="A45" s="3">
        <v>1</v>
      </c>
      <c r="B45" s="3">
        <v>6000</v>
      </c>
      <c r="C45" s="3">
        <v>300</v>
      </c>
      <c r="D45" s="34">
        <f>$B$41/(2*$B$37*C45)</f>
        <v>0.27777777777777779</v>
      </c>
    </row>
    <row r="46" spans="1:4" x14ac:dyDescent="0.25">
      <c r="A46" s="1">
        <v>2</v>
      </c>
      <c r="B46" s="1">
        <f>(2000^2+1500^2)^0.5</f>
        <v>2500</v>
      </c>
      <c r="C46" s="1">
        <v>150</v>
      </c>
      <c r="D46" s="34">
        <f t="shared" ref="D46:D48" si="0">$B$41/(2*$B$37*C46)</f>
        <v>0.55555555555555558</v>
      </c>
    </row>
    <row r="47" spans="1:4" x14ac:dyDescent="0.25">
      <c r="A47" s="1">
        <v>3</v>
      </c>
      <c r="B47" s="1">
        <v>3000</v>
      </c>
      <c r="C47" s="1">
        <v>200</v>
      </c>
      <c r="D47" s="34">
        <f t="shared" si="0"/>
        <v>0.41666666666666669</v>
      </c>
    </row>
    <row r="48" spans="1:4" x14ac:dyDescent="0.25">
      <c r="A48" s="1">
        <v>4</v>
      </c>
      <c r="B48" s="1">
        <f>(2000^2+1500^2)^0.5</f>
        <v>2500</v>
      </c>
      <c r="C48" s="1">
        <v>150</v>
      </c>
      <c r="D48" s="34">
        <f t="shared" si="0"/>
        <v>0.55555555555555558</v>
      </c>
    </row>
    <row r="49" spans="1:5" x14ac:dyDescent="0.25">
      <c r="A49" s="2"/>
    </row>
    <row r="50" spans="1:5" x14ac:dyDescent="0.25">
      <c r="A50" s="2" t="s">
        <v>70</v>
      </c>
    </row>
    <row r="51" spans="1:5" x14ac:dyDescent="0.25">
      <c r="A51" s="2"/>
    </row>
    <row r="52" spans="1:5" x14ac:dyDescent="0.25">
      <c r="A52" t="s">
        <v>42</v>
      </c>
      <c r="B52">
        <f>4*B37^2*(C45/B45+C46/B46+C47/B47+C48/B48)</f>
        <v>76680000000000</v>
      </c>
      <c r="C52" t="s">
        <v>35</v>
      </c>
    </row>
    <row r="53" spans="1:5" x14ac:dyDescent="0.25">
      <c r="A53" s="2"/>
    </row>
    <row r="54" spans="1:5" x14ac:dyDescent="0.25">
      <c r="A54" t="s">
        <v>48</v>
      </c>
      <c r="B54">
        <v>10000</v>
      </c>
      <c r="C54" t="s">
        <v>33</v>
      </c>
    </row>
    <row r="55" spans="1:5" x14ac:dyDescent="0.25">
      <c r="A55" s="23" t="s">
        <v>52</v>
      </c>
      <c r="B55" s="33">
        <f>B41/(B54*B52)</f>
        <v>1.9561815336463223E-9</v>
      </c>
      <c r="C55" t="s">
        <v>56</v>
      </c>
    </row>
    <row r="56" spans="1:5" x14ac:dyDescent="0.25">
      <c r="A56" s="23" t="s">
        <v>52</v>
      </c>
      <c r="B56" s="33">
        <f>B55*180/3.1415</f>
        <v>1.1208425149016012E-7</v>
      </c>
      <c r="C56" t="s">
        <v>57</v>
      </c>
    </row>
    <row r="58" spans="1:5" s="32" customFormat="1" x14ac:dyDescent="0.25">
      <c r="A58" s="32" t="s">
        <v>71</v>
      </c>
    </row>
    <row r="60" spans="1:5" x14ac:dyDescent="0.25">
      <c r="A60" s="2" t="s">
        <v>4</v>
      </c>
    </row>
    <row r="61" spans="1:5" ht="18" x14ac:dyDescent="0.35">
      <c r="A61" s="4" t="s">
        <v>34</v>
      </c>
      <c r="B61" s="4" t="s">
        <v>39</v>
      </c>
      <c r="C61" s="4" t="s">
        <v>40</v>
      </c>
      <c r="D61" s="4" t="s">
        <v>20</v>
      </c>
      <c r="E61" s="4" t="s">
        <v>38</v>
      </c>
    </row>
    <row r="62" spans="1:5" ht="15.75" customHeight="1" x14ac:dyDescent="0.25">
      <c r="A62" s="5" t="s">
        <v>12</v>
      </c>
      <c r="B62" s="5" t="s">
        <v>10</v>
      </c>
      <c r="C62" s="5" t="s">
        <v>10</v>
      </c>
      <c r="D62" s="5" t="s">
        <v>11</v>
      </c>
      <c r="E62" s="5" t="s">
        <v>24</v>
      </c>
    </row>
    <row r="63" spans="1:5" x14ac:dyDescent="0.25">
      <c r="A63" s="3">
        <v>1</v>
      </c>
      <c r="B63" s="3">
        <v>6000</v>
      </c>
      <c r="C63" s="3">
        <v>300</v>
      </c>
      <c r="D63" s="3">
        <f>B63*C63</f>
        <v>1800000</v>
      </c>
      <c r="E63" s="38">
        <f>1/3*B63*C63^3</f>
        <v>54000000000</v>
      </c>
    </row>
    <row r="64" spans="1:5" x14ac:dyDescent="0.25">
      <c r="A64" s="1">
        <v>2</v>
      </c>
      <c r="B64" s="1">
        <f>(2000^2+1500^2)^0.5</f>
        <v>2500</v>
      </c>
      <c r="C64" s="1">
        <v>150</v>
      </c>
      <c r="D64" s="3">
        <f t="shared" ref="D64:D67" si="1">B64*C64</f>
        <v>375000</v>
      </c>
      <c r="E64" s="38">
        <f t="shared" ref="E64:E67" si="2">1/3*B64*C64^3</f>
        <v>2812499999.9999995</v>
      </c>
    </row>
    <row r="65" spans="1:5" x14ac:dyDescent="0.25">
      <c r="A65" s="1" t="s">
        <v>72</v>
      </c>
      <c r="B65" s="1">
        <v>1500</v>
      </c>
      <c r="C65" s="1">
        <v>200</v>
      </c>
      <c r="D65" s="3">
        <f t="shared" si="1"/>
        <v>300000</v>
      </c>
      <c r="E65" s="38">
        <f t="shared" si="2"/>
        <v>4000000000</v>
      </c>
    </row>
    <row r="66" spans="1:5" x14ac:dyDescent="0.25">
      <c r="A66" s="1" t="s">
        <v>73</v>
      </c>
      <c r="B66" s="1">
        <v>1500</v>
      </c>
      <c r="C66" s="1">
        <v>200</v>
      </c>
      <c r="D66" s="3">
        <f t="shared" ref="D66" si="3">B66*C66</f>
        <v>300000</v>
      </c>
      <c r="E66" s="38">
        <f t="shared" ref="E66" si="4">1/3*B66*C66^3</f>
        <v>4000000000</v>
      </c>
    </row>
    <row r="67" spans="1:5" x14ac:dyDescent="0.25">
      <c r="A67" s="1">
        <v>4</v>
      </c>
      <c r="B67" s="1">
        <f>(2000^2+1500^2)^0.5</f>
        <v>2500</v>
      </c>
      <c r="C67" s="1">
        <v>150</v>
      </c>
      <c r="D67" s="3">
        <f t="shared" si="1"/>
        <v>375000</v>
      </c>
      <c r="E67" s="38">
        <f t="shared" si="2"/>
        <v>2812499999.9999995</v>
      </c>
    </row>
    <row r="69" spans="1:5" x14ac:dyDescent="0.25">
      <c r="A69" s="2" t="s">
        <v>41</v>
      </c>
    </row>
    <row r="70" spans="1:5" ht="17.25" x14ac:dyDescent="0.25">
      <c r="A70" t="s">
        <v>0</v>
      </c>
      <c r="B70">
        <f>SUM(D63:D67)</f>
        <v>3150000</v>
      </c>
      <c r="C70" t="s">
        <v>17</v>
      </c>
    </row>
    <row r="71" spans="1:5" ht="17.25" x14ac:dyDescent="0.25">
      <c r="A71" t="s">
        <v>42</v>
      </c>
      <c r="B71" s="33">
        <f>SUM(E63:E67)</f>
        <v>67625000000</v>
      </c>
      <c r="C71" t="s">
        <v>30</v>
      </c>
    </row>
    <row r="73" spans="1:5" x14ac:dyDescent="0.25">
      <c r="A73" s="2" t="s">
        <v>43</v>
      </c>
    </row>
    <row r="74" spans="1:5" x14ac:dyDescent="0.25">
      <c r="A74" s="2"/>
    </row>
    <row r="75" spans="1:5" x14ac:dyDescent="0.25">
      <c r="A75" t="s">
        <v>46</v>
      </c>
      <c r="B75">
        <f>1500*1000*1000</f>
        <v>1500000000</v>
      </c>
      <c r="C75" t="s">
        <v>32</v>
      </c>
    </row>
    <row r="76" spans="1:5" x14ac:dyDescent="0.25">
      <c r="A76" s="2"/>
    </row>
    <row r="77" spans="1:5" ht="18" x14ac:dyDescent="0.35">
      <c r="A77" s="4" t="s">
        <v>34</v>
      </c>
      <c r="B77" s="4" t="s">
        <v>39</v>
      </c>
      <c r="C77" s="4" t="s">
        <v>40</v>
      </c>
      <c r="D77" s="4" t="s">
        <v>44</v>
      </c>
    </row>
    <row r="78" spans="1:5" x14ac:dyDescent="0.25">
      <c r="A78" s="5" t="s">
        <v>12</v>
      </c>
      <c r="B78" s="5" t="s">
        <v>10</v>
      </c>
      <c r="C78" s="5" t="s">
        <v>10</v>
      </c>
      <c r="D78" s="5" t="s">
        <v>45</v>
      </c>
    </row>
    <row r="79" spans="1:5" x14ac:dyDescent="0.25">
      <c r="A79" s="3">
        <v>1</v>
      </c>
      <c r="B79" s="3">
        <v>6000</v>
      </c>
      <c r="C79" s="3">
        <v>300</v>
      </c>
      <c r="D79" s="35">
        <f>$B$75/$B$71*C79</f>
        <v>6.654343807763401</v>
      </c>
    </row>
    <row r="80" spans="1:5" x14ac:dyDescent="0.25">
      <c r="A80" s="1">
        <v>2</v>
      </c>
      <c r="B80" s="1">
        <f>(2000^2+1500^2)^0.5</f>
        <v>2500</v>
      </c>
      <c r="C80" s="1">
        <v>150</v>
      </c>
      <c r="D80" s="35">
        <f t="shared" ref="D80:D83" si="5">$B$75/$B$71*C80</f>
        <v>3.3271719038817005</v>
      </c>
    </row>
    <row r="81" spans="1:4" x14ac:dyDescent="0.25">
      <c r="A81" s="1" t="s">
        <v>72</v>
      </c>
      <c r="B81" s="1">
        <v>1500</v>
      </c>
      <c r="C81" s="1">
        <v>200</v>
      </c>
      <c r="D81" s="35">
        <f t="shared" si="5"/>
        <v>4.4362292051756009</v>
      </c>
    </row>
    <row r="82" spans="1:4" x14ac:dyDescent="0.25">
      <c r="A82" s="1" t="s">
        <v>73</v>
      </c>
      <c r="B82" s="1">
        <v>1500</v>
      </c>
      <c r="C82" s="1">
        <v>200</v>
      </c>
      <c r="D82" s="35">
        <f t="shared" si="5"/>
        <v>4.4362292051756009</v>
      </c>
    </row>
    <row r="83" spans="1:4" x14ac:dyDescent="0.25">
      <c r="A83" s="1">
        <v>4</v>
      </c>
      <c r="B83" s="1">
        <f>(2000^2+1500^2)^0.5</f>
        <v>2500</v>
      </c>
      <c r="C83" s="1">
        <v>150</v>
      </c>
      <c r="D83" s="35">
        <f t="shared" si="5"/>
        <v>3.3271719038817005</v>
      </c>
    </row>
    <row r="85" spans="1:4" x14ac:dyDescent="0.25">
      <c r="A85" s="2" t="s">
        <v>51</v>
      </c>
    </row>
    <row r="87" spans="1:4" x14ac:dyDescent="0.25">
      <c r="A87" s="23" t="s">
        <v>52</v>
      </c>
      <c r="B87" s="33">
        <f>B75/(B71*B54)</f>
        <v>2.2181146025878004E-6</v>
      </c>
      <c r="C87" t="s">
        <v>56</v>
      </c>
    </row>
    <row r="88" spans="1:4" x14ac:dyDescent="0.25">
      <c r="A88" s="23" t="s">
        <v>52</v>
      </c>
      <c r="B88" s="33">
        <f>B87*180/3.1415</f>
        <v>1.2709235348266879E-4</v>
      </c>
      <c r="C88" t="s">
        <v>57</v>
      </c>
    </row>
    <row r="90" spans="1:4" x14ac:dyDescent="0.25">
      <c r="A90" s="2" t="s">
        <v>55</v>
      </c>
    </row>
    <row r="92" spans="1:4" x14ac:dyDescent="0.25">
      <c r="A92" s="39" t="s">
        <v>74</v>
      </c>
      <c r="B92" s="39" t="s">
        <v>77</v>
      </c>
      <c r="C92" s="39" t="s">
        <v>76</v>
      </c>
      <c r="D92" s="39" t="s">
        <v>75</v>
      </c>
    </row>
    <row r="93" spans="1:4" ht="18" x14ac:dyDescent="0.35">
      <c r="A93" s="28" t="s">
        <v>78</v>
      </c>
      <c r="B93" s="40">
        <f>MAX(D45:D48)</f>
        <v>0.55555555555555558</v>
      </c>
      <c r="C93" s="41">
        <f>MAX(D79:D83)</f>
        <v>6.654343807763401</v>
      </c>
      <c r="D93" s="31">
        <f>C93/B93</f>
        <v>11.977818853974121</v>
      </c>
    </row>
    <row r="94" spans="1:4" x14ac:dyDescent="0.25">
      <c r="A94" s="42" t="s">
        <v>79</v>
      </c>
      <c r="B94" s="43">
        <f>B55</f>
        <v>1.9561815336463223E-9</v>
      </c>
      <c r="C94" s="43">
        <f>B87</f>
        <v>2.2181146025878004E-6</v>
      </c>
      <c r="D94" s="29">
        <f>C94/B94</f>
        <v>1133.9001848428836</v>
      </c>
    </row>
    <row r="95" spans="1:4" x14ac:dyDescent="0.25">
      <c r="A95" s="23"/>
      <c r="B95" s="37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7" customFormat="1" x14ac:dyDescent="0.25"/>
    <row r="108" customFormat="1" x14ac:dyDescent="0.25"/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06C5-13A0-42CD-AA37-D6FCF371C751}">
  <sheetPr codeName="Foglio3"/>
  <dimension ref="A1:I86"/>
  <sheetViews>
    <sheetView zoomScaleNormal="100" workbookViewId="0">
      <selection activeCell="A83" sqref="A83"/>
    </sheetView>
  </sheetViews>
  <sheetFormatPr defaultRowHeight="15" x14ac:dyDescent="0.25"/>
  <cols>
    <col min="1" max="1" width="10.140625" customWidth="1"/>
    <col min="2" max="2" width="11.8554687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82</v>
      </c>
    </row>
    <row r="3" spans="1:9" ht="16.5" customHeight="1" x14ac:dyDescent="0.25">
      <c r="A3" s="46" t="s">
        <v>80</v>
      </c>
      <c r="B3" s="46"/>
      <c r="C3" s="46"/>
      <c r="D3" s="46"/>
      <c r="E3" s="46"/>
      <c r="F3" s="46"/>
      <c r="G3" s="46"/>
      <c r="H3" s="46"/>
      <c r="I3" s="25"/>
    </row>
    <row r="4" spans="1:9" ht="15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 t="s">
        <v>3</v>
      </c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300</v>
      </c>
      <c r="C26" s="3">
        <v>60</v>
      </c>
      <c r="D26" s="3">
        <f>B26*C26</f>
        <v>18000</v>
      </c>
      <c r="E26" s="3">
        <v>0</v>
      </c>
      <c r="F26" s="3">
        <v>30</v>
      </c>
    </row>
    <row r="27" spans="1:6" x14ac:dyDescent="0.25">
      <c r="A27" s="1">
        <v>2</v>
      </c>
      <c r="B27" s="1">
        <v>100</v>
      </c>
      <c r="C27" s="1">
        <v>250</v>
      </c>
      <c r="D27" s="1">
        <f>B27*C27</f>
        <v>25000</v>
      </c>
      <c r="E27" s="3">
        <v>0</v>
      </c>
      <c r="F27" s="1">
        <f>250/2+60</f>
        <v>185</v>
      </c>
    </row>
    <row r="28" spans="1:6" x14ac:dyDescent="0.25">
      <c r="A28" s="1">
        <v>3</v>
      </c>
      <c r="B28" s="1">
        <v>400</v>
      </c>
      <c r="C28" s="1">
        <v>80</v>
      </c>
      <c r="D28" s="1">
        <f>B28*C28</f>
        <v>32000</v>
      </c>
      <c r="E28" s="3">
        <v>0</v>
      </c>
      <c r="F28" s="1">
        <f>60+250+40</f>
        <v>350</v>
      </c>
    </row>
    <row r="30" spans="1:6" x14ac:dyDescent="0.25">
      <c r="A30" s="2" t="s">
        <v>16</v>
      </c>
    </row>
    <row r="31" spans="1:6" ht="17.25" x14ac:dyDescent="0.25">
      <c r="A31" t="s">
        <v>0</v>
      </c>
      <c r="B31">
        <f>SUM(D26:D28)</f>
        <v>75000</v>
      </c>
      <c r="C31" t="s">
        <v>17</v>
      </c>
    </row>
    <row r="33" spans="1:9" x14ac:dyDescent="0.25">
      <c r="A33" s="2" t="s">
        <v>14</v>
      </c>
    </row>
    <row r="34" spans="1:9" ht="17.25" x14ac:dyDescent="0.25">
      <c r="A34" t="s">
        <v>8</v>
      </c>
      <c r="B34">
        <f>D26*F26+D27*F27+D28*F28</f>
        <v>16365000</v>
      </c>
      <c r="C34" t="s">
        <v>13</v>
      </c>
    </row>
    <row r="35" spans="1:9" ht="17.25" x14ac:dyDescent="0.25">
      <c r="A35" t="s">
        <v>9</v>
      </c>
      <c r="B35">
        <f>D26*E26+D27*E27+D28*E28</f>
        <v>0</v>
      </c>
      <c r="C35" t="s">
        <v>13</v>
      </c>
    </row>
    <row r="37" spans="1:9" x14ac:dyDescent="0.25">
      <c r="A37" s="2" t="s">
        <v>15</v>
      </c>
    </row>
    <row r="38" spans="1:9" x14ac:dyDescent="0.25">
      <c r="A38" t="s">
        <v>6</v>
      </c>
      <c r="B38" s="6">
        <f>B35/B31</f>
        <v>0</v>
      </c>
      <c r="C38" t="s">
        <v>1</v>
      </c>
    </row>
    <row r="39" spans="1:9" x14ac:dyDescent="0.25">
      <c r="A39" t="s">
        <v>7</v>
      </c>
      <c r="B39" s="6">
        <f>B34/B31</f>
        <v>218.2</v>
      </c>
      <c r="C39" t="s">
        <v>1</v>
      </c>
    </row>
    <row r="41" spans="1:9" x14ac:dyDescent="0.25">
      <c r="A41" s="2" t="s">
        <v>23</v>
      </c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ht="15.75" thickBot="1" x14ac:dyDescent="0.3">
      <c r="A46" s="2"/>
    </row>
    <row r="47" spans="1:9" ht="18.75" thickTop="1" x14ac:dyDescent="0.35">
      <c r="A47" s="4" t="s">
        <v>5</v>
      </c>
      <c r="B47" s="4" t="s">
        <v>22</v>
      </c>
      <c r="C47" s="4" t="s">
        <v>21</v>
      </c>
      <c r="D47" s="4" t="s">
        <v>20</v>
      </c>
      <c r="E47" s="4" t="s">
        <v>19</v>
      </c>
      <c r="F47" s="9" t="s">
        <v>18</v>
      </c>
      <c r="G47" s="11" t="s">
        <v>25</v>
      </c>
      <c r="H47" s="12" t="s">
        <v>26</v>
      </c>
      <c r="I47" s="13" t="s">
        <v>27</v>
      </c>
    </row>
    <row r="48" spans="1:9" ht="17.25" x14ac:dyDescent="0.25">
      <c r="A48" s="5" t="s">
        <v>12</v>
      </c>
      <c r="B48" s="5" t="s">
        <v>10</v>
      </c>
      <c r="C48" s="5" t="s">
        <v>10</v>
      </c>
      <c r="D48" s="5" t="s">
        <v>11</v>
      </c>
      <c r="E48" s="5" t="s">
        <v>10</v>
      </c>
      <c r="F48" s="10" t="s">
        <v>10</v>
      </c>
      <c r="G48" s="14" t="s">
        <v>24</v>
      </c>
      <c r="H48" s="5" t="s">
        <v>24</v>
      </c>
      <c r="I48" s="15" t="s">
        <v>24</v>
      </c>
    </row>
    <row r="49" spans="1:9" x14ac:dyDescent="0.25">
      <c r="A49" s="3">
        <v>1</v>
      </c>
      <c r="B49" s="3">
        <v>300</v>
      </c>
      <c r="C49" s="3">
        <v>60</v>
      </c>
      <c r="D49" s="3">
        <f>B49*C49</f>
        <v>18000</v>
      </c>
      <c r="E49" s="3">
        <v>0</v>
      </c>
      <c r="F49" s="3">
        <v>30</v>
      </c>
      <c r="G49" s="17">
        <f>1/12*B49*C49^3+D49*(F49-$B$39)^2</f>
        <v>642946320</v>
      </c>
      <c r="H49" s="18">
        <f>1/12*C49*B49^3+D49*(E49-$B$38)^2</f>
        <v>135000000</v>
      </c>
      <c r="I49" s="16">
        <f>D49*(E49-$B$38)*(F49-$B$39)</f>
        <v>0</v>
      </c>
    </row>
    <row r="50" spans="1:9" x14ac:dyDescent="0.25">
      <c r="A50" s="1">
        <v>2</v>
      </c>
      <c r="B50" s="1">
        <v>100</v>
      </c>
      <c r="C50" s="1">
        <v>250</v>
      </c>
      <c r="D50" s="1">
        <f>B50*C50</f>
        <v>25000</v>
      </c>
      <c r="E50" s="3">
        <v>0</v>
      </c>
      <c r="F50" s="1">
        <f>250/2+60</f>
        <v>185</v>
      </c>
      <c r="G50" s="17">
        <f t="shared" ref="G50" si="0">1/12*B50*C50^3+D50*(F50-$B$39)^2</f>
        <v>157764333.33333328</v>
      </c>
      <c r="H50" s="18">
        <f t="shared" ref="H50" si="1">1/12*C50*B50^3+D50*(E50-$B$38)^2</f>
        <v>20833333.333333332</v>
      </c>
      <c r="I50" s="16">
        <f t="shared" ref="I50" si="2">D50*(E50-$B$38)*(F50-$B$39)</f>
        <v>0</v>
      </c>
    </row>
    <row r="51" spans="1:9" ht="15.75" thickBot="1" x14ac:dyDescent="0.3">
      <c r="A51" s="1">
        <v>3</v>
      </c>
      <c r="B51" s="1">
        <v>400</v>
      </c>
      <c r="C51" s="1">
        <v>80</v>
      </c>
      <c r="D51" s="1">
        <f>B51*C51</f>
        <v>32000</v>
      </c>
      <c r="E51" s="3">
        <v>0</v>
      </c>
      <c r="F51" s="1">
        <f>60+250+40</f>
        <v>350</v>
      </c>
      <c r="G51" s="20">
        <f>1/12*B51*C51^3+D51*(F51-$B$39)^2</f>
        <v>572946346.66666663</v>
      </c>
      <c r="H51" s="21">
        <f>1/12*C51*B51^3+D51*(E51-$B$38)^2</f>
        <v>426666666.66666663</v>
      </c>
      <c r="I51" s="22">
        <f t="shared" ref="I51" si="3">D51*(E51-$B$38)*(F51-$B$39)</f>
        <v>0</v>
      </c>
    </row>
    <row r="52" spans="1:9" ht="15.75" thickTop="1" x14ac:dyDescent="0.25"/>
    <row r="53" spans="1:9" ht="18.75" x14ac:dyDescent="0.35">
      <c r="A53" t="s">
        <v>28</v>
      </c>
      <c r="B53" s="19">
        <f>SUM(G49:G51)</f>
        <v>1373657000</v>
      </c>
      <c r="C53" t="s">
        <v>30</v>
      </c>
      <c r="F53" s="26"/>
    </row>
    <row r="54" spans="1:9" ht="18.75" x14ac:dyDescent="0.35">
      <c r="A54" t="s">
        <v>29</v>
      </c>
      <c r="B54" s="19">
        <f>SUM(H49:H51)</f>
        <v>582500000</v>
      </c>
      <c r="C54" t="s">
        <v>30</v>
      </c>
      <c r="F54" s="26"/>
    </row>
    <row r="56" spans="1:9" x14ac:dyDescent="0.25">
      <c r="A56" s="2" t="s">
        <v>81</v>
      </c>
    </row>
    <row r="57" spans="1:9" x14ac:dyDescent="0.25">
      <c r="A57" s="2"/>
    </row>
    <row r="58" spans="1:9" x14ac:dyDescent="0.25">
      <c r="A58" t="s">
        <v>88</v>
      </c>
      <c r="B58">
        <v>18000</v>
      </c>
      <c r="C58" t="s">
        <v>31</v>
      </c>
    </row>
    <row r="59" spans="1:9" x14ac:dyDescent="0.25">
      <c r="A59" s="2"/>
    </row>
    <row r="60" spans="1:9" x14ac:dyDescent="0.25">
      <c r="A60" t="s">
        <v>83</v>
      </c>
      <c r="B60" s="33"/>
    </row>
    <row r="61" spans="1:9" x14ac:dyDescent="0.25">
      <c r="A61" t="s">
        <v>84</v>
      </c>
      <c r="B61" s="7">
        <f>B26</f>
        <v>300</v>
      </c>
      <c r="C61" t="s">
        <v>1</v>
      </c>
    </row>
    <row r="62" spans="1:9" x14ac:dyDescent="0.25">
      <c r="B62" s="7"/>
    </row>
    <row r="63" spans="1:9" x14ac:dyDescent="0.25">
      <c r="A63" s="28" t="s">
        <v>85</v>
      </c>
      <c r="B63" s="43" t="s">
        <v>86</v>
      </c>
      <c r="C63" s="43" t="s">
        <v>87</v>
      </c>
    </row>
    <row r="64" spans="1:9" x14ac:dyDescent="0.25">
      <c r="A64" s="45">
        <v>0</v>
      </c>
      <c r="B64" s="29">
        <f>A64*$B$61*(-$B$39+A64/2)</f>
        <v>0</v>
      </c>
      <c r="C64" s="28">
        <f>$B$58*B64/($B$53*$B$61)</f>
        <v>0</v>
      </c>
    </row>
    <row r="65" spans="1:7" x14ac:dyDescent="0.25">
      <c r="A65" s="1">
        <v>60</v>
      </c>
      <c r="B65" s="29">
        <f>A65*$B$61*(-$B$39+A65/2)</f>
        <v>-3387600</v>
      </c>
      <c r="C65" s="28">
        <f>$B$58*B65/($B$53*$B$61)</f>
        <v>-0.14796706892623121</v>
      </c>
      <c r="G65" s="24"/>
    </row>
    <row r="66" spans="1:7" x14ac:dyDescent="0.25">
      <c r="A66" s="2"/>
    </row>
    <row r="67" spans="1:7" x14ac:dyDescent="0.25">
      <c r="A67" t="s">
        <v>89</v>
      </c>
      <c r="B67" s="33"/>
    </row>
    <row r="68" spans="1:7" x14ac:dyDescent="0.25">
      <c r="A68" t="s">
        <v>84</v>
      </c>
      <c r="B68" s="7">
        <f>B27</f>
        <v>100</v>
      </c>
      <c r="C68" t="s">
        <v>1</v>
      </c>
    </row>
    <row r="69" spans="1:7" x14ac:dyDescent="0.25">
      <c r="B69" s="7"/>
    </row>
    <row r="70" spans="1:7" x14ac:dyDescent="0.25">
      <c r="A70" s="28" t="s">
        <v>93</v>
      </c>
      <c r="B70" s="43" t="s">
        <v>86</v>
      </c>
      <c r="C70" s="43" t="s">
        <v>87</v>
      </c>
    </row>
    <row r="71" spans="1:7" x14ac:dyDescent="0.25">
      <c r="A71" s="45">
        <v>0</v>
      </c>
      <c r="B71" s="29">
        <f>300*60*(-$B$39+30)+$B$68*A71*(-$B$39+60+A71/2)</f>
        <v>-3387600</v>
      </c>
      <c r="C71" s="28">
        <f>$B$58*B71/($B$53*$B$68)</f>
        <v>-0.44390120677869366</v>
      </c>
    </row>
    <row r="72" spans="1:7" x14ac:dyDescent="0.25">
      <c r="A72" s="30">
        <f>B39-60</f>
        <v>158.19999999999999</v>
      </c>
      <c r="B72" s="29">
        <f>300*60*(-$B$39+30)+$B$68*A72*(-$B$39+60+A72/2)</f>
        <v>-4638962</v>
      </c>
      <c r="C72" s="28">
        <f>$B$58*B72/($B$53*$B$68)</f>
        <v>-0.6078760272760958</v>
      </c>
    </row>
    <row r="73" spans="1:7" x14ac:dyDescent="0.25">
      <c r="A73" s="1">
        <v>250</v>
      </c>
      <c r="B73" s="29">
        <f>300*60*(-$B$39+30)+$B$68*A73*(-$B$39+60+A73/2)</f>
        <v>-4217600</v>
      </c>
      <c r="C73" s="28">
        <f>$B$58*B73/($B$53*$B$68)</f>
        <v>-0.55266198184845272</v>
      </c>
      <c r="D73" s="6"/>
    </row>
    <row r="74" spans="1:7" x14ac:dyDescent="0.25">
      <c r="B74" s="44"/>
      <c r="D74" s="6"/>
    </row>
    <row r="75" spans="1:7" x14ac:dyDescent="0.25">
      <c r="A75" t="s">
        <v>90</v>
      </c>
      <c r="B75" s="33"/>
    </row>
    <row r="76" spans="1:7" x14ac:dyDescent="0.25">
      <c r="A76" t="s">
        <v>84</v>
      </c>
      <c r="B76" s="7">
        <f>B28</f>
        <v>400</v>
      </c>
      <c r="C76" t="s">
        <v>1</v>
      </c>
    </row>
    <row r="77" spans="1:7" x14ac:dyDescent="0.25">
      <c r="B77" s="7"/>
    </row>
    <row r="78" spans="1:7" x14ac:dyDescent="0.25">
      <c r="A78" s="28" t="s">
        <v>94</v>
      </c>
      <c r="B78" s="43" t="s">
        <v>86</v>
      </c>
      <c r="C78" s="43" t="s">
        <v>87</v>
      </c>
    </row>
    <row r="79" spans="1:7" x14ac:dyDescent="0.25">
      <c r="A79" s="45">
        <v>0</v>
      </c>
      <c r="B79" s="29">
        <f>$B$76*A79*(60+250+80-$B$39-A79/2)</f>
        <v>0</v>
      </c>
      <c r="C79" s="28">
        <f>$B$58*B79/($B$53*$B$76)</f>
        <v>0</v>
      </c>
    </row>
    <row r="80" spans="1:7" x14ac:dyDescent="0.25">
      <c r="A80" s="30">
        <v>80</v>
      </c>
      <c r="B80" s="29">
        <f>$B$76*A80*(60+250+80-$B$39-A80/2)</f>
        <v>4217600</v>
      </c>
      <c r="C80" s="28">
        <f>$B$58*B80/($B$53*$B$76)</f>
        <v>0.13816549546211318</v>
      </c>
    </row>
    <row r="82" spans="1:3" x14ac:dyDescent="0.25">
      <c r="A82" s="2" t="s">
        <v>102</v>
      </c>
    </row>
    <row r="84" spans="1:3" x14ac:dyDescent="0.25">
      <c r="A84" s="49" t="s">
        <v>98</v>
      </c>
      <c r="B84" s="49" t="s">
        <v>100</v>
      </c>
      <c r="C84" s="28" t="s">
        <v>99</v>
      </c>
    </row>
    <row r="85" spans="1:3" x14ac:dyDescent="0.25">
      <c r="A85" s="49" t="s">
        <v>97</v>
      </c>
      <c r="B85" s="31">
        <f>C65*B61</f>
        <v>-44.390120677869362</v>
      </c>
      <c r="C85" s="31">
        <f>C71*B68</f>
        <v>-44.390120677869369</v>
      </c>
    </row>
    <row r="86" spans="1:3" x14ac:dyDescent="0.25">
      <c r="A86" s="49" t="s">
        <v>101</v>
      </c>
      <c r="B86" s="31">
        <f>C73*B68</f>
        <v>-55.266198184845273</v>
      </c>
      <c r="C86" s="31">
        <f>C80*B76</f>
        <v>55.266198184845273</v>
      </c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1B212-D025-4CDC-9913-E3FFBC3E8E47}">
  <sheetPr codeName="Foglio4"/>
  <dimension ref="A1:I94"/>
  <sheetViews>
    <sheetView zoomScaleNormal="100" workbookViewId="0">
      <selection activeCell="A86" sqref="A86"/>
    </sheetView>
  </sheetViews>
  <sheetFormatPr defaultRowHeight="15" x14ac:dyDescent="0.25"/>
  <cols>
    <col min="1" max="1" width="10.140625" customWidth="1"/>
    <col min="2" max="2" width="11.8554687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91</v>
      </c>
    </row>
    <row r="3" spans="1:9" ht="16.5" customHeight="1" x14ac:dyDescent="0.25">
      <c r="A3" s="46" t="s">
        <v>92</v>
      </c>
      <c r="B3" s="46"/>
      <c r="C3" s="46"/>
      <c r="D3" s="46"/>
      <c r="E3" s="46"/>
      <c r="F3" s="46"/>
      <c r="G3" s="46"/>
      <c r="H3" s="46"/>
      <c r="I3" s="25"/>
    </row>
    <row r="4" spans="1:9" ht="13.5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 t="s">
        <v>3</v>
      </c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240</v>
      </c>
      <c r="C26" s="3">
        <v>60</v>
      </c>
      <c r="D26" s="3">
        <f>B26*C26</f>
        <v>14400</v>
      </c>
      <c r="E26" s="3">
        <v>0</v>
      </c>
      <c r="F26" s="3">
        <v>30</v>
      </c>
    </row>
    <row r="27" spans="1:6" x14ac:dyDescent="0.25">
      <c r="A27" s="1">
        <v>2</v>
      </c>
      <c r="B27" s="1">
        <v>60</v>
      </c>
      <c r="C27" s="1">
        <v>200</v>
      </c>
      <c r="D27" s="1">
        <f>B27*C27</f>
        <v>12000</v>
      </c>
      <c r="E27" s="3">
        <v>90</v>
      </c>
      <c r="F27" s="1">
        <v>160</v>
      </c>
    </row>
    <row r="28" spans="1:6" x14ac:dyDescent="0.25">
      <c r="A28" s="1">
        <v>3</v>
      </c>
      <c r="B28" s="1">
        <v>60</v>
      </c>
      <c r="C28" s="1">
        <v>200</v>
      </c>
      <c r="D28" s="1">
        <f t="shared" ref="D28:D29" si="0">B28*C28</f>
        <v>12000</v>
      </c>
      <c r="E28" s="3">
        <v>-90</v>
      </c>
      <c r="F28" s="1">
        <v>160</v>
      </c>
    </row>
    <row r="29" spans="1:6" x14ac:dyDescent="0.25">
      <c r="A29" s="1">
        <v>4</v>
      </c>
      <c r="B29" s="1">
        <v>240</v>
      </c>
      <c r="C29" s="1">
        <v>80</v>
      </c>
      <c r="D29" s="1">
        <f t="shared" si="0"/>
        <v>19200</v>
      </c>
      <c r="E29" s="3">
        <v>0</v>
      </c>
      <c r="F29" s="1">
        <f>200+60+40</f>
        <v>300</v>
      </c>
    </row>
    <row r="31" spans="1:6" x14ac:dyDescent="0.25">
      <c r="A31" s="2" t="s">
        <v>16</v>
      </c>
    </row>
    <row r="32" spans="1:6" ht="17.25" x14ac:dyDescent="0.25">
      <c r="A32" t="s">
        <v>0</v>
      </c>
      <c r="B32">
        <f>SUM(D26:D29)</f>
        <v>57600</v>
      </c>
      <c r="C32" t="s">
        <v>17</v>
      </c>
    </row>
    <row r="34" spans="1:9" x14ac:dyDescent="0.25">
      <c r="A34" s="2" t="s">
        <v>14</v>
      </c>
    </row>
    <row r="35" spans="1:9" ht="17.25" x14ac:dyDescent="0.25">
      <c r="A35" t="s">
        <v>8</v>
      </c>
      <c r="B35">
        <f>D26*F26+D27*F27+D28*F28+D29*F29</f>
        <v>10032000</v>
      </c>
      <c r="C35" t="s">
        <v>13</v>
      </c>
    </row>
    <row r="36" spans="1:9" ht="17.25" x14ac:dyDescent="0.25">
      <c r="A36" t="s">
        <v>9</v>
      </c>
      <c r="B36">
        <f>D26*E26+D27*E27+D28*E28+D29*E29</f>
        <v>0</v>
      </c>
      <c r="C36" t="s">
        <v>13</v>
      </c>
    </row>
    <row r="38" spans="1:9" x14ac:dyDescent="0.25">
      <c r="A38" s="2" t="s">
        <v>15</v>
      </c>
    </row>
    <row r="39" spans="1:9" x14ac:dyDescent="0.25">
      <c r="A39" t="s">
        <v>6</v>
      </c>
      <c r="B39" s="6">
        <f>B36/B32</f>
        <v>0</v>
      </c>
      <c r="C39" t="s">
        <v>1</v>
      </c>
    </row>
    <row r="40" spans="1:9" x14ac:dyDescent="0.25">
      <c r="A40" t="s">
        <v>7</v>
      </c>
      <c r="B40" s="6">
        <f>B35/B32</f>
        <v>174.16666666666666</v>
      </c>
      <c r="C40" t="s">
        <v>1</v>
      </c>
    </row>
    <row r="42" spans="1:9" x14ac:dyDescent="0.25">
      <c r="A42" s="2" t="s">
        <v>23</v>
      </c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x14ac:dyDescent="0.25">
      <c r="A46" s="2"/>
    </row>
    <row r="47" spans="1:9" ht="15.75" thickBot="1" x14ac:dyDescent="0.3">
      <c r="A47" s="2"/>
    </row>
    <row r="48" spans="1:9" ht="18.75" thickTop="1" x14ac:dyDescent="0.35">
      <c r="A48" s="4" t="s">
        <v>5</v>
      </c>
      <c r="B48" s="4" t="s">
        <v>22</v>
      </c>
      <c r="C48" s="4" t="s">
        <v>21</v>
      </c>
      <c r="D48" s="4" t="s">
        <v>20</v>
      </c>
      <c r="E48" s="4" t="s">
        <v>19</v>
      </c>
      <c r="F48" s="9" t="s">
        <v>18</v>
      </c>
      <c r="G48" s="11" t="s">
        <v>25</v>
      </c>
      <c r="H48" s="12" t="s">
        <v>26</v>
      </c>
      <c r="I48" s="13" t="s">
        <v>27</v>
      </c>
    </row>
    <row r="49" spans="1:9" ht="17.25" x14ac:dyDescent="0.25">
      <c r="A49" s="5" t="s">
        <v>12</v>
      </c>
      <c r="B49" s="5" t="s">
        <v>10</v>
      </c>
      <c r="C49" s="5" t="s">
        <v>10</v>
      </c>
      <c r="D49" s="5" t="s">
        <v>11</v>
      </c>
      <c r="E49" s="5" t="s">
        <v>10</v>
      </c>
      <c r="F49" s="10" t="s">
        <v>10</v>
      </c>
      <c r="G49" s="14" t="s">
        <v>24</v>
      </c>
      <c r="H49" s="5" t="s">
        <v>24</v>
      </c>
      <c r="I49" s="15" t="s">
        <v>24</v>
      </c>
    </row>
    <row r="50" spans="1:9" x14ac:dyDescent="0.25">
      <c r="A50" s="3">
        <v>1</v>
      </c>
      <c r="B50" s="3">
        <v>240</v>
      </c>
      <c r="C50" s="3">
        <v>60</v>
      </c>
      <c r="D50" s="3">
        <f>B50*C50</f>
        <v>14400</v>
      </c>
      <c r="E50" s="3">
        <v>0</v>
      </c>
      <c r="F50" s="3">
        <v>30</v>
      </c>
      <c r="G50" s="17">
        <f>1/12*B50*C50^3+D50*(F50-$B$40)^2</f>
        <v>303609999.99999994</v>
      </c>
      <c r="H50" s="18">
        <f>1/12*C50*B50^3+D50*(E50-$B$39)^2</f>
        <v>69120000</v>
      </c>
      <c r="I50" s="16">
        <f>D50*(E50-$B$39)*(F50-$B$40)</f>
        <v>0</v>
      </c>
    </row>
    <row r="51" spans="1:9" x14ac:dyDescent="0.25">
      <c r="A51" s="1">
        <v>2</v>
      </c>
      <c r="B51" s="1">
        <v>60</v>
      </c>
      <c r="C51" s="1">
        <v>200</v>
      </c>
      <c r="D51" s="1">
        <f>B51*C51</f>
        <v>12000</v>
      </c>
      <c r="E51" s="3">
        <v>90</v>
      </c>
      <c r="F51" s="1">
        <v>160</v>
      </c>
      <c r="G51" s="17">
        <f t="shared" ref="G51" si="1">1/12*B51*C51^3+D51*(F51-$B$40)^2</f>
        <v>42408333.333333328</v>
      </c>
      <c r="H51" s="18">
        <f t="shared" ref="H51" si="2">1/12*C51*B51^3+D51*(E51-$B$39)^2</f>
        <v>100800000</v>
      </c>
      <c r="I51" s="16">
        <f t="shared" ref="I51:I53" si="3">D51*(E51-$B$39)*(F51-$B$40)</f>
        <v>-15299999.999999991</v>
      </c>
    </row>
    <row r="52" spans="1:9" x14ac:dyDescent="0.25">
      <c r="A52" s="1">
        <v>3</v>
      </c>
      <c r="B52" s="1">
        <v>60</v>
      </c>
      <c r="C52" s="1">
        <v>200</v>
      </c>
      <c r="D52" s="1">
        <f t="shared" ref="D52:D53" si="4">B52*C52</f>
        <v>12000</v>
      </c>
      <c r="E52" s="3">
        <v>-90</v>
      </c>
      <c r="F52" s="1">
        <v>160</v>
      </c>
      <c r="G52" s="17">
        <f t="shared" ref="G52" si="5">1/12*B52*C52^3+D52*(F52-$B$40)^2</f>
        <v>42408333.333333328</v>
      </c>
      <c r="H52" s="18">
        <f t="shared" ref="H52" si="6">1/12*C52*B52^3+D52*(E52-$B$39)^2</f>
        <v>100800000</v>
      </c>
      <c r="I52" s="16">
        <f t="shared" ref="I52" si="7">D52*(E52-$B$39)*(F52-$B$40)</f>
        <v>15299999.999999991</v>
      </c>
    </row>
    <row r="53" spans="1:9" ht="15.75" thickBot="1" x14ac:dyDescent="0.3">
      <c r="A53" s="1">
        <v>4</v>
      </c>
      <c r="B53" s="1">
        <v>240</v>
      </c>
      <c r="C53" s="1">
        <v>80</v>
      </c>
      <c r="D53" s="1">
        <f t="shared" si="4"/>
        <v>19200</v>
      </c>
      <c r="E53" s="3">
        <v>0</v>
      </c>
      <c r="F53" s="1">
        <f>200+60+40</f>
        <v>300</v>
      </c>
      <c r="G53" s="20">
        <f>1/12*B53*C53^3+D53*(F53-$B$40)^2</f>
        <v>314253333.33333337</v>
      </c>
      <c r="H53" s="21">
        <f>1/12*C53*B53^3+D53*(E53-$B$39)^2</f>
        <v>92159999.999999985</v>
      </c>
      <c r="I53" s="22">
        <f t="shared" si="3"/>
        <v>0</v>
      </c>
    </row>
    <row r="54" spans="1:9" ht="15.75" thickTop="1" x14ac:dyDescent="0.25"/>
    <row r="55" spans="1:9" ht="18.75" x14ac:dyDescent="0.35">
      <c r="A55" t="s">
        <v>28</v>
      </c>
      <c r="B55" s="19">
        <f>SUM(G50:G53)</f>
        <v>702680000</v>
      </c>
      <c r="C55" t="s">
        <v>30</v>
      </c>
      <c r="E55" s="33"/>
      <c r="F55" s="26"/>
    </row>
    <row r="56" spans="1:9" ht="18.75" x14ac:dyDescent="0.35">
      <c r="A56" t="s">
        <v>29</v>
      </c>
      <c r="B56" s="19">
        <f>SUM(H50:H53)</f>
        <v>362880000</v>
      </c>
      <c r="C56" t="s">
        <v>30</v>
      </c>
      <c r="E56" s="33"/>
      <c r="F56" s="26"/>
    </row>
    <row r="58" spans="1:9" x14ac:dyDescent="0.25">
      <c r="A58" s="2" t="s">
        <v>81</v>
      </c>
    </row>
    <row r="59" spans="1:9" x14ac:dyDescent="0.25">
      <c r="A59" s="2"/>
    </row>
    <row r="60" spans="1:9" x14ac:dyDescent="0.25">
      <c r="A60" t="s">
        <v>88</v>
      </c>
      <c r="B60">
        <v>50000</v>
      </c>
      <c r="C60" t="s">
        <v>31</v>
      </c>
    </row>
    <row r="61" spans="1:9" x14ac:dyDescent="0.25">
      <c r="A61" s="2"/>
    </row>
    <row r="62" spans="1:9" x14ac:dyDescent="0.25">
      <c r="A62" t="s">
        <v>83</v>
      </c>
      <c r="B62" s="33"/>
    </row>
    <row r="63" spans="1:9" x14ac:dyDescent="0.25">
      <c r="A63" t="s">
        <v>84</v>
      </c>
      <c r="B63" s="7">
        <v>240</v>
      </c>
      <c r="C63" t="s">
        <v>1</v>
      </c>
    </row>
    <row r="64" spans="1:9" x14ac:dyDescent="0.25">
      <c r="B64" s="7"/>
    </row>
    <row r="65" spans="1:7" x14ac:dyDescent="0.25">
      <c r="A65" s="28" t="s">
        <v>85</v>
      </c>
      <c r="B65" s="43" t="s">
        <v>86</v>
      </c>
      <c r="C65" s="43" t="s">
        <v>87</v>
      </c>
    </row>
    <row r="66" spans="1:7" x14ac:dyDescent="0.25">
      <c r="A66" s="45">
        <v>0</v>
      </c>
      <c r="B66" s="29">
        <v>0</v>
      </c>
      <c r="C66" s="28">
        <v>0</v>
      </c>
    </row>
    <row r="67" spans="1:7" x14ac:dyDescent="0.25">
      <c r="A67" s="1">
        <v>60</v>
      </c>
      <c r="B67" s="29">
        <f>60*240*(-B40+A67/2)</f>
        <v>-2075999.9999999998</v>
      </c>
      <c r="C67" s="28">
        <f>$B$60*B67/($B$55*$B$63)</f>
        <v>-0.61550065463653436</v>
      </c>
      <c r="G67" s="24"/>
    </row>
    <row r="68" spans="1:7" x14ac:dyDescent="0.25">
      <c r="A68" s="2"/>
    </row>
    <row r="69" spans="1:7" x14ac:dyDescent="0.25">
      <c r="A69" t="s">
        <v>89</v>
      </c>
      <c r="B69" s="33"/>
    </row>
    <row r="70" spans="1:7" x14ac:dyDescent="0.25">
      <c r="A70" t="s">
        <v>84</v>
      </c>
      <c r="B70" s="7">
        <v>120</v>
      </c>
      <c r="C70" t="s">
        <v>1</v>
      </c>
    </row>
    <row r="71" spans="1:7" x14ac:dyDescent="0.25">
      <c r="B71" s="7"/>
    </row>
    <row r="72" spans="1:7" x14ac:dyDescent="0.25">
      <c r="A72" s="28" t="s">
        <v>93</v>
      </c>
      <c r="B72" s="43" t="s">
        <v>86</v>
      </c>
      <c r="C72" s="43" t="s">
        <v>87</v>
      </c>
    </row>
    <row r="73" spans="1:7" x14ac:dyDescent="0.25">
      <c r="A73" s="45">
        <v>0</v>
      </c>
      <c r="B73" s="29">
        <f>240*60*(-$B$40+60/2)+A73*$B$70*(-$B$40+60+A73/2)</f>
        <v>-2075999.9999999998</v>
      </c>
      <c r="C73" s="28">
        <f>$B$60*B73/($B$55*$B$70)</f>
        <v>-1.2310013092730687</v>
      </c>
    </row>
    <row r="74" spans="1:7" x14ac:dyDescent="0.25">
      <c r="A74" s="30">
        <f>60+200-B40</f>
        <v>85.833333333333343</v>
      </c>
      <c r="B74" s="29">
        <f t="shared" ref="B74:B75" si="8">240*60*(-$B$40+60/2)+A74*$B$70*(-$B$40+60+A74/2)</f>
        <v>-2809875</v>
      </c>
      <c r="C74" s="28">
        <f>$B$60*B74/($B$55*$B$70)</f>
        <v>-1.666165608811977</v>
      </c>
    </row>
    <row r="75" spans="1:7" x14ac:dyDescent="0.25">
      <c r="A75" s="1">
        <v>200</v>
      </c>
      <c r="B75" s="29">
        <f t="shared" si="8"/>
        <v>-2415999.9999999995</v>
      </c>
      <c r="C75" s="28">
        <f>$B$60*B75/($B$55*$B$70)</f>
        <v>-1.4326103868996789</v>
      </c>
      <c r="D75" s="6"/>
    </row>
    <row r="76" spans="1:7" x14ac:dyDescent="0.25">
      <c r="B76" s="44"/>
      <c r="D76" s="6"/>
    </row>
    <row r="77" spans="1:7" x14ac:dyDescent="0.25">
      <c r="A77" t="s">
        <v>90</v>
      </c>
      <c r="B77" s="33"/>
    </row>
    <row r="78" spans="1:7" x14ac:dyDescent="0.25">
      <c r="A78" t="s">
        <v>84</v>
      </c>
      <c r="B78" s="7">
        <f>B29</f>
        <v>240</v>
      </c>
      <c r="C78" t="s">
        <v>1</v>
      </c>
    </row>
    <row r="79" spans="1:7" x14ac:dyDescent="0.25">
      <c r="B79" s="7"/>
    </row>
    <row r="80" spans="1:7" x14ac:dyDescent="0.25">
      <c r="A80" s="28" t="s">
        <v>94</v>
      </c>
      <c r="B80" s="43" t="s">
        <v>86</v>
      </c>
      <c r="C80" s="43" t="s">
        <v>87</v>
      </c>
    </row>
    <row r="81" spans="1:3" x14ac:dyDescent="0.25">
      <c r="A81" s="45">
        <v>0</v>
      </c>
      <c r="B81" s="29">
        <f>$B$78*A81*(60+250+80-$B$40-A81/2)</f>
        <v>0</v>
      </c>
      <c r="C81" s="28">
        <f>$B$60*B81/($B$55*$B$78)</f>
        <v>0</v>
      </c>
    </row>
    <row r="82" spans="1:3" x14ac:dyDescent="0.25">
      <c r="A82" s="30">
        <v>80</v>
      </c>
      <c r="B82" s="29">
        <f>240*80*(C26+C27+C29-B40-40)</f>
        <v>2416000</v>
      </c>
      <c r="C82" s="28">
        <f>$B$60*B82/($B$55*$B$78)</f>
        <v>0.71630519344983967</v>
      </c>
    </row>
    <row r="85" spans="1:3" x14ac:dyDescent="0.25">
      <c r="A85" s="2" t="s">
        <v>102</v>
      </c>
    </row>
    <row r="87" spans="1:3" x14ac:dyDescent="0.25">
      <c r="A87" s="49" t="s">
        <v>98</v>
      </c>
      <c r="B87" s="49" t="s">
        <v>100</v>
      </c>
      <c r="C87" s="28" t="s">
        <v>99</v>
      </c>
    </row>
    <row r="88" spans="1:3" x14ac:dyDescent="0.25">
      <c r="A88" s="49" t="s">
        <v>97</v>
      </c>
      <c r="B88" s="31">
        <f>C67*B63</f>
        <v>-147.72015711276825</v>
      </c>
      <c r="C88" s="31">
        <f>C73*B70</f>
        <v>-147.72015711276825</v>
      </c>
    </row>
    <row r="89" spans="1:3" x14ac:dyDescent="0.25">
      <c r="A89" s="49" t="s">
        <v>101</v>
      </c>
      <c r="B89" s="31">
        <f>C75*B70</f>
        <v>-171.91324642796147</v>
      </c>
      <c r="C89" s="31">
        <f>C82*B78</f>
        <v>171.91324642796152</v>
      </c>
    </row>
    <row r="90" spans="1:3" x14ac:dyDescent="0.25">
      <c r="A90" s="48"/>
      <c r="B90" s="6"/>
      <c r="C90" s="6"/>
    </row>
    <row r="91" spans="1:3" x14ac:dyDescent="0.25">
      <c r="A91" s="48"/>
      <c r="B91" s="6"/>
      <c r="C91" s="6"/>
    </row>
    <row r="92" spans="1:3" x14ac:dyDescent="0.25">
      <c r="A92" s="48"/>
      <c r="B92" s="6"/>
      <c r="C92" s="6"/>
    </row>
    <row r="93" spans="1:3" x14ac:dyDescent="0.25">
      <c r="A93" s="48"/>
      <c r="B93" s="6"/>
      <c r="C93" s="6"/>
    </row>
    <row r="94" spans="1:3" x14ac:dyDescent="0.25">
      <c r="A94" s="48"/>
      <c r="B94" s="6"/>
      <c r="C94" s="6"/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E15F-9050-4F4C-BF93-EBBAEE17A854}">
  <dimension ref="A1:I87"/>
  <sheetViews>
    <sheetView zoomScaleNormal="100" workbookViewId="0">
      <selection activeCell="D53" sqref="D53:D54"/>
    </sheetView>
  </sheetViews>
  <sheetFormatPr defaultRowHeight="15" x14ac:dyDescent="0.25"/>
  <cols>
    <col min="1" max="1" width="10.140625" customWidth="1"/>
    <col min="2" max="2" width="11.8554687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95</v>
      </c>
    </row>
    <row r="3" spans="1:9" ht="16.5" customHeight="1" x14ac:dyDescent="0.25">
      <c r="A3" s="46" t="s">
        <v>96</v>
      </c>
      <c r="B3" s="46"/>
      <c r="C3" s="46"/>
      <c r="D3" s="46"/>
      <c r="E3" s="46"/>
      <c r="F3" s="46"/>
      <c r="G3" s="46"/>
      <c r="H3" s="46"/>
      <c r="I3" s="25"/>
    </row>
    <row r="4" spans="1:9" ht="15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/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200</v>
      </c>
      <c r="C26" s="3">
        <v>10</v>
      </c>
      <c r="D26" s="3">
        <f>B26*C26</f>
        <v>2000</v>
      </c>
      <c r="E26" s="3">
        <v>0</v>
      </c>
      <c r="F26" s="3">
        <v>0</v>
      </c>
    </row>
    <row r="27" spans="1:6" x14ac:dyDescent="0.25">
      <c r="A27" s="1">
        <v>2</v>
      </c>
      <c r="B27" s="1">
        <v>8</v>
      </c>
      <c r="C27" s="1">
        <v>250</v>
      </c>
      <c r="D27" s="1">
        <f>B27*C27</f>
        <v>2000</v>
      </c>
      <c r="E27" s="3">
        <v>0</v>
      </c>
      <c r="F27" s="1">
        <v>125</v>
      </c>
    </row>
    <row r="28" spans="1:6" x14ac:dyDescent="0.25">
      <c r="A28" s="1">
        <v>3</v>
      </c>
      <c r="B28" s="1">
        <v>150</v>
      </c>
      <c r="C28" s="1">
        <v>12</v>
      </c>
      <c r="D28" s="1">
        <f>B28*C28</f>
        <v>1800</v>
      </c>
      <c r="E28" s="3">
        <v>0</v>
      </c>
      <c r="F28" s="1">
        <v>250</v>
      </c>
    </row>
    <row r="30" spans="1:6" x14ac:dyDescent="0.25">
      <c r="A30" s="2" t="s">
        <v>16</v>
      </c>
    </row>
    <row r="31" spans="1:6" ht="17.25" x14ac:dyDescent="0.25">
      <c r="A31" t="s">
        <v>0</v>
      </c>
      <c r="B31">
        <f>SUM(D26:D28)</f>
        <v>5800</v>
      </c>
      <c r="C31" t="s">
        <v>17</v>
      </c>
    </row>
    <row r="33" spans="1:9" x14ac:dyDescent="0.25">
      <c r="A33" s="2" t="s">
        <v>14</v>
      </c>
    </row>
    <row r="34" spans="1:9" ht="17.25" x14ac:dyDescent="0.25">
      <c r="A34" t="s">
        <v>8</v>
      </c>
      <c r="B34">
        <f>D26*F26+D27*F27+D28*F28</f>
        <v>700000</v>
      </c>
      <c r="C34" t="s">
        <v>13</v>
      </c>
    </row>
    <row r="35" spans="1:9" ht="17.25" x14ac:dyDescent="0.25">
      <c r="A35" t="s">
        <v>9</v>
      </c>
      <c r="B35">
        <f>D26*E26+D27*E27+D28*E28</f>
        <v>0</v>
      </c>
      <c r="C35" t="s">
        <v>13</v>
      </c>
    </row>
    <row r="37" spans="1:9" x14ac:dyDescent="0.25">
      <c r="A37" s="2" t="s">
        <v>15</v>
      </c>
    </row>
    <row r="38" spans="1:9" x14ac:dyDescent="0.25">
      <c r="A38" t="s">
        <v>6</v>
      </c>
      <c r="B38" s="6">
        <f>B35/B31</f>
        <v>0</v>
      </c>
      <c r="C38" t="s">
        <v>1</v>
      </c>
    </row>
    <row r="39" spans="1:9" x14ac:dyDescent="0.25">
      <c r="A39" t="s">
        <v>7</v>
      </c>
      <c r="B39" s="6">
        <f>B34/B31</f>
        <v>120.68965517241379</v>
      </c>
      <c r="C39" t="s">
        <v>1</v>
      </c>
    </row>
    <row r="41" spans="1:9" x14ac:dyDescent="0.25">
      <c r="A41" s="2" t="s">
        <v>23</v>
      </c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ht="15.75" thickBot="1" x14ac:dyDescent="0.3">
      <c r="A46" s="2"/>
    </row>
    <row r="47" spans="1:9" ht="18.75" thickTop="1" x14ac:dyDescent="0.35">
      <c r="A47" s="4" t="s">
        <v>5</v>
      </c>
      <c r="B47" s="4" t="s">
        <v>22</v>
      </c>
      <c r="C47" s="4" t="s">
        <v>21</v>
      </c>
      <c r="D47" s="4" t="s">
        <v>20</v>
      </c>
      <c r="E47" s="4" t="s">
        <v>19</v>
      </c>
      <c r="F47" s="9" t="s">
        <v>18</v>
      </c>
      <c r="G47" s="11" t="s">
        <v>25</v>
      </c>
      <c r="H47" s="12" t="s">
        <v>26</v>
      </c>
      <c r="I47" s="13" t="s">
        <v>27</v>
      </c>
    </row>
    <row r="48" spans="1:9" ht="17.25" x14ac:dyDescent="0.25">
      <c r="A48" s="5" t="s">
        <v>12</v>
      </c>
      <c r="B48" s="5" t="s">
        <v>10</v>
      </c>
      <c r="C48" s="5" t="s">
        <v>10</v>
      </c>
      <c r="D48" s="5" t="s">
        <v>11</v>
      </c>
      <c r="E48" s="5" t="s">
        <v>10</v>
      </c>
      <c r="F48" s="10" t="s">
        <v>10</v>
      </c>
      <c r="G48" s="14" t="s">
        <v>24</v>
      </c>
      <c r="H48" s="5" t="s">
        <v>24</v>
      </c>
      <c r="I48" s="15" t="s">
        <v>24</v>
      </c>
    </row>
    <row r="49" spans="1:9" x14ac:dyDescent="0.25">
      <c r="A49" s="3">
        <v>1</v>
      </c>
      <c r="B49" s="3">
        <v>200</v>
      </c>
      <c r="C49" s="3">
        <v>10</v>
      </c>
      <c r="D49" s="3">
        <f>B49*C49</f>
        <v>2000</v>
      </c>
      <c r="E49" s="3">
        <v>0</v>
      </c>
      <c r="F49" s="3">
        <v>0</v>
      </c>
      <c r="G49" s="17">
        <f>1/12*B49*C49^3+D49*(F49-$B$39)^2</f>
        <v>29148652.397938963</v>
      </c>
      <c r="H49" s="18">
        <f>1/12*C49*B49^3+D49*(E49-$B$38)^2</f>
        <v>6666666.666666666</v>
      </c>
      <c r="I49" s="16">
        <f>D49*(E49-$B$38)*(F49-$B$39)</f>
        <v>0</v>
      </c>
    </row>
    <row r="50" spans="1:9" x14ac:dyDescent="0.25">
      <c r="A50" s="1">
        <v>2</v>
      </c>
      <c r="B50" s="1">
        <v>8</v>
      </c>
      <c r="C50" s="1">
        <v>250</v>
      </c>
      <c r="D50" s="1">
        <f>B50*C50</f>
        <v>2000</v>
      </c>
      <c r="E50" s="3">
        <v>0</v>
      </c>
      <c r="F50" s="1">
        <v>125</v>
      </c>
      <c r="G50" s="17">
        <f t="shared" ref="G50" si="0">1/12*B50*C50^3+D50*(F50-$B$39)^2</f>
        <v>10453824.811732065</v>
      </c>
      <c r="H50" s="18">
        <f t="shared" ref="H50" si="1">1/12*C50*B50^3+D50*(E50-$B$38)^2</f>
        <v>10666.666666666666</v>
      </c>
      <c r="I50" s="16">
        <f t="shared" ref="I50:I51" si="2">D50*(E50-$B$38)*(F50-$B$39)</f>
        <v>0</v>
      </c>
    </row>
    <row r="51" spans="1:9" ht="15.75" thickBot="1" x14ac:dyDescent="0.3">
      <c r="A51" s="1">
        <v>3</v>
      </c>
      <c r="B51" s="1">
        <v>150</v>
      </c>
      <c r="C51" s="1">
        <v>12</v>
      </c>
      <c r="D51" s="1">
        <f>B51*C51</f>
        <v>1800</v>
      </c>
      <c r="E51" s="3">
        <v>0</v>
      </c>
      <c r="F51" s="1">
        <v>250</v>
      </c>
      <c r="G51" s="20">
        <f>1/12*B51*C51^3+D51*(F51-$B$39)^2</f>
        <v>30119697.502972655</v>
      </c>
      <c r="H51" s="21">
        <f>1/12*C51*B51^3+D51*(E51-$B$38)^2</f>
        <v>3375000</v>
      </c>
      <c r="I51" s="22">
        <f t="shared" si="2"/>
        <v>0</v>
      </c>
    </row>
    <row r="52" spans="1:9" ht="15.75" thickTop="1" x14ac:dyDescent="0.25"/>
    <row r="53" spans="1:9" ht="18.75" x14ac:dyDescent="0.35">
      <c r="A53" t="s">
        <v>28</v>
      </c>
      <c r="B53" s="19">
        <f>SUM(G49:G51)</f>
        <v>69722174.712643683</v>
      </c>
      <c r="C53" t="s">
        <v>30</v>
      </c>
      <c r="F53" s="26"/>
    </row>
    <row r="54" spans="1:9" ht="18.75" x14ac:dyDescent="0.35">
      <c r="A54" t="s">
        <v>29</v>
      </c>
      <c r="B54" s="19">
        <f>SUM(H49:H51)</f>
        <v>10052333.333333332</v>
      </c>
      <c r="C54" t="s">
        <v>30</v>
      </c>
      <c r="F54" s="26"/>
    </row>
    <row r="56" spans="1:9" x14ac:dyDescent="0.25">
      <c r="A56" s="2" t="s">
        <v>81</v>
      </c>
    </row>
    <row r="57" spans="1:9" x14ac:dyDescent="0.25">
      <c r="A57" s="2"/>
    </row>
    <row r="58" spans="1:9" x14ac:dyDescent="0.25">
      <c r="A58" t="s">
        <v>88</v>
      </c>
      <c r="B58">
        <v>25000</v>
      </c>
      <c r="C58" t="s">
        <v>31</v>
      </c>
    </row>
    <row r="59" spans="1:9" x14ac:dyDescent="0.25">
      <c r="A59" s="2"/>
    </row>
    <row r="60" spans="1:9" x14ac:dyDescent="0.25">
      <c r="A60" t="s">
        <v>83</v>
      </c>
      <c r="B60" s="33"/>
    </row>
    <row r="61" spans="1:9" x14ac:dyDescent="0.25">
      <c r="A61" t="s">
        <v>84</v>
      </c>
      <c r="B61" s="7">
        <v>10</v>
      </c>
      <c r="C61" t="s">
        <v>1</v>
      </c>
    </row>
    <row r="62" spans="1:9" x14ac:dyDescent="0.25">
      <c r="B62" s="7"/>
    </row>
    <row r="63" spans="1:9" x14ac:dyDescent="0.25">
      <c r="A63" s="28" t="s">
        <v>85</v>
      </c>
      <c r="B63" s="43" t="s">
        <v>86</v>
      </c>
      <c r="C63" s="43" t="s">
        <v>87</v>
      </c>
    </row>
    <row r="64" spans="1:9" x14ac:dyDescent="0.25">
      <c r="A64" s="45">
        <v>0</v>
      </c>
      <c r="B64" s="29">
        <v>0</v>
      </c>
      <c r="C64" s="28">
        <f>$B$58*B64/($B$53*$B$61)</f>
        <v>0</v>
      </c>
    </row>
    <row r="65" spans="1:7" x14ac:dyDescent="0.25">
      <c r="A65" s="1">
        <v>100</v>
      </c>
      <c r="B65" s="29">
        <f>A65*B61*(-B39)</f>
        <v>-120689.6551724138</v>
      </c>
      <c r="C65" s="28">
        <f>$B$58*B65/($B$53*$B$61)</f>
        <v>-4.3275204649679218</v>
      </c>
      <c r="G65" s="24"/>
    </row>
    <row r="66" spans="1:7" x14ac:dyDescent="0.25">
      <c r="A66" s="2"/>
    </row>
    <row r="67" spans="1:7" x14ac:dyDescent="0.25">
      <c r="A67" t="s">
        <v>89</v>
      </c>
      <c r="B67" s="33"/>
    </row>
    <row r="68" spans="1:7" x14ac:dyDescent="0.25">
      <c r="A68" t="s">
        <v>84</v>
      </c>
      <c r="B68" s="7">
        <v>8</v>
      </c>
      <c r="C68" t="s">
        <v>1</v>
      </c>
    </row>
    <row r="69" spans="1:7" x14ac:dyDescent="0.25">
      <c r="B69" s="7"/>
    </row>
    <row r="70" spans="1:7" x14ac:dyDescent="0.25">
      <c r="A70" s="28" t="s">
        <v>93</v>
      </c>
      <c r="B70" s="43" t="s">
        <v>86</v>
      </c>
      <c r="C70" s="43" t="s">
        <v>87</v>
      </c>
    </row>
    <row r="71" spans="1:7" x14ac:dyDescent="0.25">
      <c r="A71" s="45">
        <v>0</v>
      </c>
      <c r="B71" s="29">
        <f>2*$A$65*$B$61*(-$B$39)+A71*$B$68*(-$B$39+A71/2)</f>
        <v>-241379.31034482759</v>
      </c>
      <c r="C71" s="28">
        <f>$B$58*B71/($B$53*$B$68)</f>
        <v>-10.818801162419804</v>
      </c>
    </row>
    <row r="72" spans="1:7" x14ac:dyDescent="0.25">
      <c r="A72" s="30">
        <f>B39</f>
        <v>120.68965517241379</v>
      </c>
      <c r="B72" s="29">
        <f t="shared" ref="B72:B73" si="3">2*$A$65*$B$61*(-$B$39)+A72*$B$68*(-$B$39+A72/2)</f>
        <v>-299643.28180737217</v>
      </c>
      <c r="C72" s="28">
        <f>$B$58*B72/($B$53*$B$68)</f>
        <v>-13.430235925762517</v>
      </c>
    </row>
    <row r="73" spans="1:7" x14ac:dyDescent="0.25">
      <c r="A73" s="1">
        <v>250</v>
      </c>
      <c r="B73" s="29">
        <f t="shared" si="3"/>
        <v>-232758.62068965519</v>
      </c>
      <c r="C73" s="28">
        <f>$B$58*B73/($B$53*$B$68)</f>
        <v>-10.432415406619098</v>
      </c>
      <c r="D73" s="6"/>
    </row>
    <row r="74" spans="1:7" x14ac:dyDescent="0.25">
      <c r="B74" s="44"/>
      <c r="D74" s="6"/>
    </row>
    <row r="75" spans="1:7" x14ac:dyDescent="0.25">
      <c r="A75" t="s">
        <v>90</v>
      </c>
      <c r="B75" s="33"/>
    </row>
    <row r="76" spans="1:7" x14ac:dyDescent="0.25">
      <c r="A76" t="s">
        <v>84</v>
      </c>
      <c r="B76" s="7">
        <v>12</v>
      </c>
      <c r="C76" t="s">
        <v>1</v>
      </c>
    </row>
    <row r="77" spans="1:7" x14ac:dyDescent="0.25">
      <c r="B77" s="7"/>
    </row>
    <row r="78" spans="1:7" x14ac:dyDescent="0.25">
      <c r="A78" s="28" t="s">
        <v>94</v>
      </c>
      <c r="B78" s="43" t="s">
        <v>86</v>
      </c>
      <c r="C78" s="43" t="s">
        <v>87</v>
      </c>
    </row>
    <row r="79" spans="1:7" x14ac:dyDescent="0.25">
      <c r="A79" s="45">
        <v>0</v>
      </c>
      <c r="B79" s="29">
        <v>0</v>
      </c>
      <c r="C79" s="28">
        <f>$B$58*B79/($B$53*$B$76)</f>
        <v>0</v>
      </c>
    </row>
    <row r="80" spans="1:7" x14ac:dyDescent="0.25">
      <c r="A80" s="30">
        <v>75</v>
      </c>
      <c r="B80" s="29">
        <f>A80*B76*(250-B39)</f>
        <v>116379.31034482759</v>
      </c>
      <c r="C80" s="28">
        <f>$B$58*B80/($B$53*$B$76)</f>
        <v>3.4774718022063662</v>
      </c>
    </row>
    <row r="83" spans="1:3" x14ac:dyDescent="0.25">
      <c r="A83" s="2" t="s">
        <v>102</v>
      </c>
    </row>
    <row r="85" spans="1:3" x14ac:dyDescent="0.25">
      <c r="A85" s="49" t="s">
        <v>98</v>
      </c>
      <c r="B85" s="49" t="s">
        <v>100</v>
      </c>
      <c r="C85" s="28" t="s">
        <v>99</v>
      </c>
    </row>
    <row r="86" spans="1:3" x14ac:dyDescent="0.25">
      <c r="A86" s="49" t="s">
        <v>97</v>
      </c>
      <c r="B86" s="31">
        <f>2*(C65*B61)</f>
        <v>-86.550409299358435</v>
      </c>
      <c r="C86" s="31">
        <f>C71*B68</f>
        <v>-86.550409299358435</v>
      </c>
    </row>
    <row r="87" spans="1:3" x14ac:dyDescent="0.25">
      <c r="A87" s="49" t="s">
        <v>101</v>
      </c>
      <c r="B87" s="31">
        <f>C73*B68</f>
        <v>-83.459323252952785</v>
      </c>
      <c r="C87" s="31">
        <f>2*(C80*B76)</f>
        <v>83.459323252952785</v>
      </c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4364-CE93-4277-B7DC-D648A4101851}">
  <dimension ref="A1:I137"/>
  <sheetViews>
    <sheetView zoomScale="85" zoomScaleNormal="85" workbookViewId="0">
      <selection activeCell="R127" sqref="R127"/>
    </sheetView>
  </sheetViews>
  <sheetFormatPr defaultRowHeight="15" x14ac:dyDescent="0.25"/>
  <cols>
    <col min="1" max="1" width="10.140625" customWidth="1"/>
    <col min="2" max="2" width="11.8554687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113</v>
      </c>
    </row>
    <row r="3" spans="1:9" ht="16.5" customHeight="1" x14ac:dyDescent="0.25">
      <c r="A3" s="46" t="s">
        <v>103</v>
      </c>
      <c r="B3" s="46"/>
      <c r="C3" s="46"/>
      <c r="D3" s="46"/>
      <c r="E3" s="46"/>
      <c r="F3" s="46"/>
      <c r="G3" s="46"/>
      <c r="H3" s="46"/>
      <c r="I3" s="25"/>
    </row>
    <row r="4" spans="1:9" ht="12" customHeight="1" x14ac:dyDescent="0.25">
      <c r="A4" s="47"/>
      <c r="B4" s="47"/>
      <c r="C4" s="47"/>
      <c r="D4" s="47"/>
      <c r="E4" s="47"/>
      <c r="F4" s="47"/>
      <c r="G4" s="47"/>
      <c r="H4" s="47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/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400</v>
      </c>
      <c r="C26" s="3">
        <v>10</v>
      </c>
      <c r="D26" s="3">
        <f>B26*C26</f>
        <v>4000</v>
      </c>
      <c r="E26" s="3">
        <v>0</v>
      </c>
      <c r="F26" s="3">
        <v>0</v>
      </c>
    </row>
    <row r="27" spans="1:6" x14ac:dyDescent="0.25">
      <c r="A27" s="1">
        <v>2</v>
      </c>
      <c r="B27" s="1">
        <v>8</v>
      </c>
      <c r="C27" s="1">
        <v>150</v>
      </c>
      <c r="D27" s="1">
        <f>B27*C27</f>
        <v>1200</v>
      </c>
      <c r="E27" s="3">
        <v>100</v>
      </c>
      <c r="F27" s="1">
        <v>75</v>
      </c>
    </row>
    <row r="28" spans="1:6" x14ac:dyDescent="0.25">
      <c r="A28" s="1">
        <v>3</v>
      </c>
      <c r="B28" s="1">
        <v>8</v>
      </c>
      <c r="C28" s="1">
        <v>150</v>
      </c>
      <c r="D28" s="1">
        <f>B28*C28</f>
        <v>1200</v>
      </c>
      <c r="E28" s="3">
        <v>-100</v>
      </c>
      <c r="F28" s="1">
        <v>75</v>
      </c>
    </row>
    <row r="30" spans="1:6" x14ac:dyDescent="0.25">
      <c r="A30" s="2" t="s">
        <v>16</v>
      </c>
    </row>
    <row r="31" spans="1:6" ht="17.25" x14ac:dyDescent="0.25">
      <c r="A31" t="s">
        <v>0</v>
      </c>
      <c r="B31">
        <f>SUM(D26:D28)</f>
        <v>6400</v>
      </c>
      <c r="C31" t="s">
        <v>17</v>
      </c>
    </row>
    <row r="33" spans="1:9" x14ac:dyDescent="0.25">
      <c r="A33" s="2" t="s">
        <v>14</v>
      </c>
    </row>
    <row r="34" spans="1:9" ht="17.25" x14ac:dyDescent="0.25">
      <c r="A34" t="s">
        <v>8</v>
      </c>
      <c r="B34">
        <f>D26*F26+D27*F27+D28*F28</f>
        <v>180000</v>
      </c>
      <c r="C34" t="s">
        <v>13</v>
      </c>
    </row>
    <row r="35" spans="1:9" ht="17.25" x14ac:dyDescent="0.25">
      <c r="A35" t="s">
        <v>9</v>
      </c>
      <c r="B35">
        <f>D26*E26+D27*E27+D28*E28</f>
        <v>0</v>
      </c>
      <c r="C35" t="s">
        <v>13</v>
      </c>
    </row>
    <row r="37" spans="1:9" x14ac:dyDescent="0.25">
      <c r="A37" s="2" t="s">
        <v>15</v>
      </c>
    </row>
    <row r="38" spans="1:9" x14ac:dyDescent="0.25">
      <c r="A38" t="s">
        <v>6</v>
      </c>
      <c r="B38" s="6">
        <f>B35/B31</f>
        <v>0</v>
      </c>
      <c r="C38" t="s">
        <v>1</v>
      </c>
    </row>
    <row r="39" spans="1:9" x14ac:dyDescent="0.25">
      <c r="A39" t="s">
        <v>7</v>
      </c>
      <c r="B39" s="6">
        <f>B34/B31</f>
        <v>28.125</v>
      </c>
      <c r="C39" t="s">
        <v>1</v>
      </c>
    </row>
    <row r="41" spans="1:9" x14ac:dyDescent="0.25">
      <c r="A41" s="2" t="s">
        <v>23</v>
      </c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ht="15.75" thickBot="1" x14ac:dyDescent="0.3">
      <c r="A46" s="2"/>
    </row>
    <row r="47" spans="1:9" ht="18.75" thickTop="1" x14ac:dyDescent="0.35">
      <c r="A47" s="4" t="s">
        <v>5</v>
      </c>
      <c r="B47" s="4" t="s">
        <v>22</v>
      </c>
      <c r="C47" s="4" t="s">
        <v>21</v>
      </c>
      <c r="D47" s="4" t="s">
        <v>20</v>
      </c>
      <c r="E47" s="4" t="s">
        <v>19</v>
      </c>
      <c r="F47" s="9" t="s">
        <v>18</v>
      </c>
      <c r="G47" s="11" t="s">
        <v>25</v>
      </c>
      <c r="H47" s="12" t="s">
        <v>26</v>
      </c>
      <c r="I47" s="13" t="s">
        <v>27</v>
      </c>
    </row>
    <row r="48" spans="1:9" ht="17.25" x14ac:dyDescent="0.25">
      <c r="A48" s="5" t="s">
        <v>12</v>
      </c>
      <c r="B48" s="5" t="s">
        <v>10</v>
      </c>
      <c r="C48" s="5" t="s">
        <v>10</v>
      </c>
      <c r="D48" s="5" t="s">
        <v>11</v>
      </c>
      <c r="E48" s="5" t="s">
        <v>10</v>
      </c>
      <c r="F48" s="10" t="s">
        <v>10</v>
      </c>
      <c r="G48" s="14" t="s">
        <v>24</v>
      </c>
      <c r="H48" s="5" t="s">
        <v>24</v>
      </c>
      <c r="I48" s="15" t="s">
        <v>24</v>
      </c>
    </row>
    <row r="49" spans="1:9" x14ac:dyDescent="0.25">
      <c r="A49" s="3">
        <v>1</v>
      </c>
      <c r="B49" s="3">
        <v>400</v>
      </c>
      <c r="C49" s="3">
        <v>10</v>
      </c>
      <c r="D49" s="3">
        <f>B49*C49</f>
        <v>4000</v>
      </c>
      <c r="E49" s="3">
        <v>0</v>
      </c>
      <c r="F49" s="3">
        <v>0</v>
      </c>
      <c r="G49" s="17">
        <f>1/12*B49*C49^3+D49*(F49-$B$39)^2</f>
        <v>3197395.8333333335</v>
      </c>
      <c r="H49" s="18">
        <f>1/12*C49*B49^3+D49*(E49-$B$38)^2</f>
        <v>53333333.333333328</v>
      </c>
      <c r="I49" s="16">
        <f>D49*(E49-$B$38)*(F49-$B$39)</f>
        <v>0</v>
      </c>
    </row>
    <row r="50" spans="1:9" x14ac:dyDescent="0.25">
      <c r="A50" s="1">
        <v>2</v>
      </c>
      <c r="B50" s="1">
        <v>8</v>
      </c>
      <c r="C50" s="1">
        <v>150</v>
      </c>
      <c r="D50" s="1">
        <f>B50*C50</f>
        <v>1200</v>
      </c>
      <c r="E50" s="3">
        <v>100</v>
      </c>
      <c r="F50" s="1">
        <v>75</v>
      </c>
      <c r="G50" s="17">
        <f t="shared" ref="G50" si="0">1/12*B50*C50^3+D50*(F50-$B$39)^2</f>
        <v>4886718.75</v>
      </c>
      <c r="H50" s="18">
        <f t="shared" ref="H50" si="1">1/12*C50*B50^3+D50*(E50-$B$38)^2</f>
        <v>12006400</v>
      </c>
      <c r="I50" s="16">
        <f t="shared" ref="I50:I51" si="2">D50*(E50-$B$38)*(F50-$B$39)</f>
        <v>5625000</v>
      </c>
    </row>
    <row r="51" spans="1:9" ht="15.75" thickBot="1" x14ac:dyDescent="0.3">
      <c r="A51" s="1">
        <v>3</v>
      </c>
      <c r="B51" s="1">
        <v>8</v>
      </c>
      <c r="C51" s="1">
        <v>150</v>
      </c>
      <c r="D51" s="1">
        <f>B51*C51</f>
        <v>1200</v>
      </c>
      <c r="E51" s="3">
        <v>-100</v>
      </c>
      <c r="F51" s="1">
        <v>75</v>
      </c>
      <c r="G51" s="20">
        <f>1/12*B51*C51^3+D51*(F51-$B$39)^2</f>
        <v>4886718.75</v>
      </c>
      <c r="H51" s="21">
        <f>1/12*C51*B51^3+D51*(E51-$B$38)^2</f>
        <v>12006400</v>
      </c>
      <c r="I51" s="22">
        <f t="shared" si="2"/>
        <v>-5625000</v>
      </c>
    </row>
    <row r="52" spans="1:9" ht="15.75" thickTop="1" x14ac:dyDescent="0.25"/>
    <row r="53" spans="1:9" ht="18.75" x14ac:dyDescent="0.35">
      <c r="A53" t="s">
        <v>28</v>
      </c>
      <c r="B53" s="19">
        <f>SUM(G49:G51)</f>
        <v>12970833.333333334</v>
      </c>
      <c r="C53" t="s">
        <v>30</v>
      </c>
      <c r="F53" s="26"/>
    </row>
    <row r="54" spans="1:9" ht="18.75" x14ac:dyDescent="0.35">
      <c r="A54" t="s">
        <v>29</v>
      </c>
      <c r="B54" s="19">
        <f>SUM(H49:H51)</f>
        <v>77346133.333333328</v>
      </c>
      <c r="C54" t="s">
        <v>30</v>
      </c>
      <c r="F54" s="26"/>
    </row>
    <row r="56" spans="1:9" x14ac:dyDescent="0.25">
      <c r="A56" s="32" t="s">
        <v>104</v>
      </c>
    </row>
    <row r="57" spans="1:9" x14ac:dyDescent="0.25">
      <c r="A57" s="2"/>
    </row>
    <row r="58" spans="1:9" x14ac:dyDescent="0.25">
      <c r="A58" t="s">
        <v>88</v>
      </c>
      <c r="B58">
        <v>8000</v>
      </c>
      <c r="C58" t="s">
        <v>31</v>
      </c>
    </row>
    <row r="59" spans="1:9" x14ac:dyDescent="0.25">
      <c r="A59" s="2"/>
    </row>
    <row r="60" spans="1:9" x14ac:dyDescent="0.25">
      <c r="A60" t="s">
        <v>83</v>
      </c>
      <c r="B60" s="33"/>
    </row>
    <row r="61" spans="1:9" x14ac:dyDescent="0.25">
      <c r="A61" t="s">
        <v>84</v>
      </c>
      <c r="B61" s="7">
        <v>10</v>
      </c>
      <c r="C61" t="s">
        <v>1</v>
      </c>
    </row>
    <row r="62" spans="1:9" x14ac:dyDescent="0.25">
      <c r="B62" s="7"/>
    </row>
    <row r="63" spans="1:9" x14ac:dyDescent="0.25">
      <c r="A63" s="28" t="s">
        <v>85</v>
      </c>
      <c r="B63" s="43" t="s">
        <v>86</v>
      </c>
      <c r="C63" s="43" t="s">
        <v>87</v>
      </c>
    </row>
    <row r="64" spans="1:9" x14ac:dyDescent="0.25">
      <c r="A64" s="45">
        <v>0</v>
      </c>
      <c r="B64" s="29">
        <v>0</v>
      </c>
      <c r="C64" s="28">
        <f>$B$58*B64/($B$53*$B$61)</f>
        <v>0</v>
      </c>
    </row>
    <row r="65" spans="1:8" x14ac:dyDescent="0.25">
      <c r="A65" s="1">
        <v>100</v>
      </c>
      <c r="B65" s="29">
        <f>A65*B61*(-B39)</f>
        <v>-28125</v>
      </c>
      <c r="C65" s="28">
        <f>$B$58*B65/($B$53*$B$61)</f>
        <v>-1.7346610986186957</v>
      </c>
      <c r="G65" s="24"/>
    </row>
    <row r="66" spans="1:8" x14ac:dyDescent="0.25">
      <c r="A66" s="2"/>
    </row>
    <row r="67" spans="1:8" x14ac:dyDescent="0.25">
      <c r="A67" t="s">
        <v>89</v>
      </c>
      <c r="B67" s="33"/>
      <c r="H67" s="6"/>
    </row>
    <row r="68" spans="1:8" x14ac:dyDescent="0.25">
      <c r="A68" t="s">
        <v>84</v>
      </c>
      <c r="B68" s="7">
        <v>8</v>
      </c>
      <c r="C68" t="s">
        <v>1</v>
      </c>
    </row>
    <row r="69" spans="1:8" x14ac:dyDescent="0.25">
      <c r="B69" s="7"/>
    </row>
    <row r="70" spans="1:8" x14ac:dyDescent="0.25">
      <c r="A70" s="28" t="s">
        <v>93</v>
      </c>
      <c r="B70" s="43" t="s">
        <v>86</v>
      </c>
      <c r="C70" s="43" t="s">
        <v>87</v>
      </c>
    </row>
    <row r="71" spans="1:8" x14ac:dyDescent="0.25">
      <c r="A71" s="45">
        <v>0</v>
      </c>
      <c r="B71" s="29">
        <f>A71*$B$68*($A$73-$B$39-A71/2)</f>
        <v>0</v>
      </c>
      <c r="C71" s="28">
        <f>$B$58*B71/($B$53*$B$68)</f>
        <v>0</v>
      </c>
    </row>
    <row r="72" spans="1:8" x14ac:dyDescent="0.25">
      <c r="A72" s="30">
        <f>A73-B39</f>
        <v>121.875</v>
      </c>
      <c r="B72" s="29">
        <f t="shared" ref="B72:B73" si="3">A72*$B$68*($A$73-$B$39-A72/2)</f>
        <v>59414.0625</v>
      </c>
      <c r="C72" s="28">
        <f>$B$58*B72/($B$53*$B$68)</f>
        <v>4.5805894635399937</v>
      </c>
    </row>
    <row r="73" spans="1:8" x14ac:dyDescent="0.25">
      <c r="A73" s="1">
        <v>150</v>
      </c>
      <c r="B73" s="29">
        <f t="shared" si="3"/>
        <v>56250</v>
      </c>
      <c r="C73" s="28">
        <f>$B$58*B73/($B$53*$B$68)</f>
        <v>4.336652746546739</v>
      </c>
      <c r="D73" s="6"/>
    </row>
    <row r="74" spans="1:8" x14ac:dyDescent="0.25">
      <c r="B74" s="44"/>
      <c r="D74" s="6"/>
    </row>
    <row r="75" spans="1:8" x14ac:dyDescent="0.25">
      <c r="A75" t="s">
        <v>90</v>
      </c>
      <c r="B75" s="33"/>
    </row>
    <row r="76" spans="1:8" x14ac:dyDescent="0.25">
      <c r="A76" t="s">
        <v>84</v>
      </c>
      <c r="B76" s="7">
        <v>10</v>
      </c>
      <c r="C76" t="s">
        <v>1</v>
      </c>
    </row>
    <row r="77" spans="1:8" x14ac:dyDescent="0.25">
      <c r="B77" s="7"/>
    </row>
    <row r="78" spans="1:8" x14ac:dyDescent="0.25">
      <c r="A78" s="28" t="s">
        <v>94</v>
      </c>
      <c r="B78" s="43" t="s">
        <v>86</v>
      </c>
      <c r="C78" s="43" t="s">
        <v>87</v>
      </c>
    </row>
    <row r="79" spans="1:8" x14ac:dyDescent="0.25">
      <c r="A79" s="45">
        <v>0</v>
      </c>
      <c r="B79" s="29">
        <f>100*$B$76*(-$B$39)+$B$68*$A$73*(150-$B$39-150/2)+A79*$B$76*(-$B$39)</f>
        <v>28125</v>
      </c>
      <c r="C79" s="28">
        <f>$B$58*B79/($B$53*$B$76)</f>
        <v>1.7346610986186957</v>
      </c>
    </row>
    <row r="80" spans="1:8" x14ac:dyDescent="0.25">
      <c r="A80" s="30">
        <v>100</v>
      </c>
      <c r="B80" s="29">
        <f>100*$B$76*(-$B$39)+$B$68*$A$73*(150-$B$39-150/2)+A80*$B$76*(-$B$39)</f>
        <v>0</v>
      </c>
      <c r="C80" s="28">
        <f>$B$58*B80/($B$53*$B$76)</f>
        <v>0</v>
      </c>
    </row>
    <row r="83" spans="1:5" x14ac:dyDescent="0.25">
      <c r="A83" s="2" t="s">
        <v>102</v>
      </c>
    </row>
    <row r="85" spans="1:5" x14ac:dyDescent="0.25">
      <c r="A85" s="49" t="s">
        <v>98</v>
      </c>
      <c r="B85" s="49" t="s">
        <v>100</v>
      </c>
      <c r="C85" s="28" t="s">
        <v>99</v>
      </c>
    </row>
    <row r="86" spans="1:5" x14ac:dyDescent="0.25">
      <c r="A86" s="49" t="s">
        <v>105</v>
      </c>
      <c r="B86" s="31">
        <f>ABS(C65*B61)+ABS(C79*B76)</f>
        <v>34.693221972373912</v>
      </c>
      <c r="C86" s="31">
        <f>C73*B68</f>
        <v>34.693221972373912</v>
      </c>
    </row>
    <row r="89" spans="1:5" x14ac:dyDescent="0.25">
      <c r="A89" s="32" t="s">
        <v>106</v>
      </c>
    </row>
    <row r="91" spans="1:5" x14ac:dyDescent="0.25">
      <c r="A91" s="2" t="s">
        <v>4</v>
      </c>
    </row>
    <row r="92" spans="1:5" ht="18" x14ac:dyDescent="0.35">
      <c r="A92" s="4" t="s">
        <v>34</v>
      </c>
      <c r="B92" s="4" t="s">
        <v>39</v>
      </c>
      <c r="C92" s="4" t="s">
        <v>40</v>
      </c>
      <c r="D92" s="4" t="s">
        <v>20</v>
      </c>
      <c r="E92" s="4" t="s">
        <v>38</v>
      </c>
    </row>
    <row r="93" spans="1:5" ht="17.25" x14ac:dyDescent="0.25">
      <c r="A93" s="5" t="s">
        <v>12</v>
      </c>
      <c r="B93" s="5" t="s">
        <v>10</v>
      </c>
      <c r="C93" s="5" t="s">
        <v>10</v>
      </c>
      <c r="D93" s="5" t="s">
        <v>11</v>
      </c>
      <c r="E93" s="5" t="s">
        <v>24</v>
      </c>
    </row>
    <row r="94" spans="1:5" x14ac:dyDescent="0.25">
      <c r="A94" s="3">
        <v>1</v>
      </c>
      <c r="B94" s="3">
        <v>400</v>
      </c>
      <c r="C94" s="3">
        <v>10</v>
      </c>
      <c r="D94" s="3">
        <f>B94*C94</f>
        <v>4000</v>
      </c>
      <c r="E94" s="35">
        <f>1/3*B94*C94^3</f>
        <v>133333.33333333331</v>
      </c>
    </row>
    <row r="95" spans="1:5" x14ac:dyDescent="0.25">
      <c r="A95" s="1">
        <v>2</v>
      </c>
      <c r="B95" s="1">
        <v>150</v>
      </c>
      <c r="C95" s="1">
        <v>8</v>
      </c>
      <c r="D95" s="3">
        <f t="shared" ref="D95:D96" si="4">B95*C95</f>
        <v>1200</v>
      </c>
      <c r="E95" s="35">
        <f t="shared" ref="E95:E96" si="5">1/3*B95*C95^3</f>
        <v>25600</v>
      </c>
    </row>
    <row r="96" spans="1:5" x14ac:dyDescent="0.25">
      <c r="A96" s="1">
        <v>3</v>
      </c>
      <c r="B96" s="1">
        <v>150</v>
      </c>
      <c r="C96" s="1">
        <v>8</v>
      </c>
      <c r="D96" s="3">
        <f t="shared" si="4"/>
        <v>1200</v>
      </c>
      <c r="E96" s="35">
        <f t="shared" si="5"/>
        <v>25600</v>
      </c>
    </row>
    <row r="99" spans="1:4" x14ac:dyDescent="0.25">
      <c r="A99" s="2" t="s">
        <v>41</v>
      </c>
    </row>
    <row r="100" spans="1:4" ht="17.25" x14ac:dyDescent="0.25">
      <c r="A100" t="s">
        <v>0</v>
      </c>
      <c r="B100">
        <f>SUM(D94:D96)</f>
        <v>6400</v>
      </c>
      <c r="C100" t="s">
        <v>17</v>
      </c>
    </row>
    <row r="101" spans="1:4" ht="17.25" x14ac:dyDescent="0.25">
      <c r="A101" t="s">
        <v>42</v>
      </c>
      <c r="B101" s="33">
        <f>SUM(E94:E96)</f>
        <v>184533.33333333331</v>
      </c>
      <c r="C101" t="s">
        <v>30</v>
      </c>
    </row>
    <row r="104" spans="1:4" x14ac:dyDescent="0.25">
      <c r="A104" s="2" t="s">
        <v>43</v>
      </c>
    </row>
    <row r="105" spans="1:4" x14ac:dyDescent="0.25">
      <c r="A105" s="2"/>
    </row>
    <row r="106" spans="1:4" x14ac:dyDescent="0.25">
      <c r="A106" t="s">
        <v>46</v>
      </c>
      <c r="B106">
        <f>B58*100</f>
        <v>800000</v>
      </c>
      <c r="C106" t="s">
        <v>32</v>
      </c>
    </row>
    <row r="107" spans="1:4" x14ac:dyDescent="0.25">
      <c r="A107" s="2"/>
    </row>
    <row r="108" spans="1:4" ht="18" x14ac:dyDescent="0.35">
      <c r="A108" s="4" t="s">
        <v>34</v>
      </c>
      <c r="B108" s="4" t="s">
        <v>39</v>
      </c>
      <c r="C108" s="4" t="s">
        <v>40</v>
      </c>
      <c r="D108" s="4" t="s">
        <v>44</v>
      </c>
    </row>
    <row r="109" spans="1:4" x14ac:dyDescent="0.25">
      <c r="A109" s="5" t="s">
        <v>12</v>
      </c>
      <c r="B109" s="5" t="s">
        <v>10</v>
      </c>
      <c r="C109" s="5" t="s">
        <v>10</v>
      </c>
      <c r="D109" s="5" t="s">
        <v>45</v>
      </c>
    </row>
    <row r="110" spans="1:4" x14ac:dyDescent="0.25">
      <c r="A110" s="3">
        <v>1</v>
      </c>
      <c r="B110" s="3">
        <v>400</v>
      </c>
      <c r="C110" s="3">
        <v>10</v>
      </c>
      <c r="D110" s="35">
        <f>$B$106/$B$101*C110</f>
        <v>43.352601156069369</v>
      </c>
    </row>
    <row r="111" spans="1:4" x14ac:dyDescent="0.25">
      <c r="A111" s="1">
        <v>2</v>
      </c>
      <c r="B111" s="1">
        <v>150</v>
      </c>
      <c r="C111" s="1">
        <v>8</v>
      </c>
      <c r="D111" s="35">
        <f t="shared" ref="D111:D112" si="6">$B$106/$B$101*C111</f>
        <v>34.682080924855498</v>
      </c>
    </row>
    <row r="112" spans="1:4" x14ac:dyDescent="0.25">
      <c r="A112" s="1">
        <v>3</v>
      </c>
      <c r="B112" s="1">
        <v>150</v>
      </c>
      <c r="C112" s="1">
        <v>8</v>
      </c>
      <c r="D112" s="35">
        <f t="shared" si="6"/>
        <v>34.682080924855498</v>
      </c>
    </row>
    <row r="115" spans="1:3" x14ac:dyDescent="0.25">
      <c r="A115" s="32" t="s">
        <v>110</v>
      </c>
    </row>
    <row r="117" spans="1:3" x14ac:dyDescent="0.25">
      <c r="A117" s="28" t="s">
        <v>85</v>
      </c>
      <c r="B117" s="43" t="s">
        <v>107</v>
      </c>
      <c r="C117" s="43" t="s">
        <v>87</v>
      </c>
    </row>
    <row r="118" spans="1:3" x14ac:dyDescent="0.25">
      <c r="A118" s="45">
        <v>0</v>
      </c>
      <c r="B118" s="29" t="s">
        <v>108</v>
      </c>
      <c r="C118" s="41">
        <f>C64+D110</f>
        <v>43.352601156069369</v>
      </c>
    </row>
    <row r="119" spans="1:3" x14ac:dyDescent="0.25">
      <c r="A119" s="45">
        <v>0</v>
      </c>
      <c r="B119" s="29" t="s">
        <v>109</v>
      </c>
      <c r="C119" s="41">
        <f>D110</f>
        <v>43.352601156069369</v>
      </c>
    </row>
    <row r="120" spans="1:3" x14ac:dyDescent="0.25">
      <c r="A120" s="45">
        <v>100</v>
      </c>
      <c r="B120" s="29" t="s">
        <v>108</v>
      </c>
      <c r="C120" s="41">
        <f>D110+ABS(C65)</f>
        <v>45.087262254688063</v>
      </c>
    </row>
    <row r="121" spans="1:3" x14ac:dyDescent="0.25">
      <c r="A121" s="1">
        <v>100</v>
      </c>
      <c r="B121" s="29" t="s">
        <v>109</v>
      </c>
      <c r="C121" s="41">
        <f>D110-ABS(C65)</f>
        <v>41.617940057450674</v>
      </c>
    </row>
    <row r="124" spans="1:3" x14ac:dyDescent="0.25">
      <c r="A124" s="28" t="s">
        <v>93</v>
      </c>
      <c r="B124" s="43" t="s">
        <v>107</v>
      </c>
      <c r="C124" s="43" t="s">
        <v>87</v>
      </c>
    </row>
    <row r="125" spans="1:3" x14ac:dyDescent="0.25">
      <c r="A125" s="45">
        <v>0</v>
      </c>
      <c r="B125" s="29" t="s">
        <v>111</v>
      </c>
      <c r="C125" s="41">
        <f>D111</f>
        <v>34.682080924855498</v>
      </c>
    </row>
    <row r="126" spans="1:3" x14ac:dyDescent="0.25">
      <c r="A126" s="45">
        <v>0</v>
      </c>
      <c r="B126" s="29" t="s">
        <v>112</v>
      </c>
      <c r="C126" s="41">
        <f>D111</f>
        <v>34.682080924855498</v>
      </c>
    </row>
    <row r="127" spans="1:3" x14ac:dyDescent="0.25">
      <c r="A127" s="30">
        <v>121.88</v>
      </c>
      <c r="B127" s="29" t="s">
        <v>111</v>
      </c>
      <c r="C127" s="41">
        <f>D111-ABS(C72)</f>
        <v>30.101491461315504</v>
      </c>
    </row>
    <row r="128" spans="1:3" x14ac:dyDescent="0.25">
      <c r="A128" s="30">
        <v>121.88</v>
      </c>
      <c r="B128" s="29" t="s">
        <v>112</v>
      </c>
      <c r="C128" s="41">
        <f>D111+ABS(C72)</f>
        <v>39.262670388395492</v>
      </c>
    </row>
    <row r="129" spans="1:3" x14ac:dyDescent="0.25">
      <c r="A129" s="45">
        <v>150</v>
      </c>
      <c r="B129" s="29" t="s">
        <v>111</v>
      </c>
      <c r="C129" s="41">
        <f>D111-ABS(C73)</f>
        <v>30.345428178308758</v>
      </c>
    </row>
    <row r="130" spans="1:3" x14ac:dyDescent="0.25">
      <c r="A130" s="1">
        <v>150</v>
      </c>
      <c r="B130" s="29" t="s">
        <v>112</v>
      </c>
      <c r="C130" s="41">
        <f>D111+ABS(C73)</f>
        <v>39.018733671402238</v>
      </c>
    </row>
    <row r="133" spans="1:3" x14ac:dyDescent="0.25">
      <c r="A133" s="28" t="s">
        <v>94</v>
      </c>
      <c r="B133" s="43" t="s">
        <v>107</v>
      </c>
      <c r="C133" s="43" t="s">
        <v>87</v>
      </c>
    </row>
    <row r="134" spans="1:3" x14ac:dyDescent="0.25">
      <c r="A134" s="45">
        <v>0</v>
      </c>
      <c r="B134" s="29" t="s">
        <v>108</v>
      </c>
      <c r="C134" s="41">
        <f>D110-C79</f>
        <v>41.617940057450674</v>
      </c>
    </row>
    <row r="135" spans="1:3" x14ac:dyDescent="0.25">
      <c r="A135" s="45">
        <v>0</v>
      </c>
      <c r="B135" s="29" t="s">
        <v>109</v>
      </c>
      <c r="C135" s="41">
        <f>D110+C79</f>
        <v>45.087262254688063</v>
      </c>
    </row>
    <row r="136" spans="1:3" x14ac:dyDescent="0.25">
      <c r="A136" s="45">
        <v>100</v>
      </c>
      <c r="B136" s="29" t="s">
        <v>108</v>
      </c>
      <c r="C136" s="41">
        <f>D110</f>
        <v>43.352601156069369</v>
      </c>
    </row>
    <row r="137" spans="1:3" x14ac:dyDescent="0.25">
      <c r="A137" s="1">
        <v>100</v>
      </c>
      <c r="B137" s="29" t="s">
        <v>109</v>
      </c>
      <c r="C137" s="41">
        <f>D110</f>
        <v>43.352601156069369</v>
      </c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To_1</vt:lpstr>
      <vt:lpstr>To_2</vt:lpstr>
      <vt:lpstr>Ta_1</vt:lpstr>
      <vt:lpstr>Ta_2</vt:lpstr>
      <vt:lpstr>Ta_3</vt:lpstr>
      <vt:lpstr>Ta_4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Nicola Cefis</cp:lastModifiedBy>
  <cp:lastPrinted>2019-11-12T20:13:25Z</cp:lastPrinted>
  <dcterms:created xsi:type="dcterms:W3CDTF">2018-11-28T12:12:14Z</dcterms:created>
  <dcterms:modified xsi:type="dcterms:W3CDTF">2023-05-16T16:46:33Z</dcterms:modified>
</cp:coreProperties>
</file>