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nicol\Downloads\"/>
    </mc:Choice>
  </mc:AlternateContent>
  <xr:revisionPtr revIDLastSave="0" documentId="13_ncr:1_{C84B311A-47A0-4BDD-A93E-B6CBDDD111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erifica_es1" sheetId="1" r:id="rId1"/>
    <sheet name="Verifica_es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ZPVJOKIwQx7mS0/ihShJC54/6CW7G5v/TvqRsZbuhVI="/>
    </ext>
  </extLst>
</workbook>
</file>

<file path=xl/calcChain.xml><?xml version="1.0" encoding="utf-8"?>
<calcChain xmlns="http://schemas.openxmlformats.org/spreadsheetml/2006/main">
  <c r="D153" i="2" l="1"/>
  <c r="D152" i="2"/>
  <c r="C60" i="2"/>
  <c r="C59" i="2"/>
  <c r="B59" i="2"/>
  <c r="D26" i="2"/>
  <c r="D27" i="2"/>
  <c r="D28" i="2"/>
  <c r="D49" i="2"/>
  <c r="D50" i="2"/>
  <c r="D51" i="2"/>
  <c r="D100" i="2"/>
  <c r="E100" i="2"/>
  <c r="D101" i="2"/>
  <c r="E101" i="2"/>
  <c r="D102" i="2"/>
  <c r="E102" i="2"/>
  <c r="B112" i="2"/>
  <c r="B116" i="1"/>
  <c r="E114" i="1"/>
  <c r="D114" i="1"/>
  <c r="E113" i="1"/>
  <c r="D113" i="1"/>
  <c r="E112" i="1"/>
  <c r="D112" i="1"/>
  <c r="B94" i="1"/>
  <c r="B93" i="1"/>
  <c r="B92" i="1"/>
  <c r="B86" i="1"/>
  <c r="B85" i="1"/>
  <c r="B66" i="1"/>
  <c r="D58" i="1"/>
  <c r="D57" i="1"/>
  <c r="H57" i="1" s="1"/>
  <c r="D56" i="1"/>
  <c r="I56" i="1" s="1"/>
  <c r="B42" i="1"/>
  <c r="B45" i="1" s="1"/>
  <c r="B41" i="1"/>
  <c r="B46" i="1" s="1"/>
  <c r="B38" i="1"/>
  <c r="D35" i="1"/>
  <c r="D34" i="1"/>
  <c r="D33" i="1"/>
  <c r="B9" i="1"/>
  <c r="B65" i="1" s="1"/>
  <c r="B8" i="1"/>
  <c r="B79" i="1" s="1"/>
  <c r="B31" i="2" l="1"/>
  <c r="B106" i="2"/>
  <c r="B34" i="2"/>
  <c r="B39" i="2" s="1"/>
  <c r="B107" i="2"/>
  <c r="D116" i="2" s="1"/>
  <c r="B35" i="2"/>
  <c r="B38" i="2" s="1"/>
  <c r="I58" i="1"/>
  <c r="G56" i="1"/>
  <c r="B60" i="1" s="1"/>
  <c r="B102" i="1" s="1"/>
  <c r="G58" i="1"/>
  <c r="I57" i="1"/>
  <c r="H56" i="1"/>
  <c r="B61" i="1" s="1"/>
  <c r="H58" i="1"/>
  <c r="G57" i="1"/>
  <c r="G49" i="2" l="1"/>
  <c r="A78" i="2"/>
  <c r="B78" i="2" s="1"/>
  <c r="G51" i="2"/>
  <c r="B86" i="2"/>
  <c r="G50" i="2"/>
  <c r="B79" i="2"/>
  <c r="B71" i="2"/>
  <c r="B85" i="2"/>
  <c r="B77" i="2"/>
  <c r="D117" i="2"/>
  <c r="D118" i="2"/>
  <c r="H50" i="2"/>
  <c r="I50" i="2"/>
  <c r="H49" i="2"/>
  <c r="H51" i="2"/>
  <c r="I49" i="2"/>
  <c r="I51" i="2"/>
  <c r="C131" i="2"/>
  <c r="C132" i="2"/>
  <c r="C142" i="2"/>
  <c r="C143" i="2"/>
  <c r="C125" i="2"/>
  <c r="D73" i="1"/>
  <c r="D71" i="1"/>
  <c r="C94" i="1"/>
  <c r="C92" i="1"/>
  <c r="C93" i="1"/>
  <c r="D72" i="1"/>
  <c r="B130" i="1" s="1"/>
  <c r="B134" i="1" s="1"/>
  <c r="B143" i="1" s="1"/>
  <c r="C86" i="1"/>
  <c r="B101" i="1" s="1"/>
  <c r="B104" i="1" s="1"/>
  <c r="B105" i="1" s="1"/>
  <c r="B107" i="1" s="1"/>
  <c r="B53" i="2" l="1"/>
  <c r="C70" i="2" s="1"/>
  <c r="C124" i="2" s="1"/>
  <c r="C85" i="2"/>
  <c r="C141" i="2" s="1"/>
  <c r="B54" i="2"/>
  <c r="D124" i="1"/>
  <c r="D123" i="1"/>
  <c r="B131" i="1" s="1"/>
  <c r="B136" i="1" s="1"/>
  <c r="D122" i="1"/>
  <c r="B147" i="1"/>
  <c r="C140" i="2" l="1"/>
  <c r="C86" i="2"/>
  <c r="C71" i="2"/>
  <c r="C77" i="2"/>
  <c r="C79" i="2"/>
  <c r="C78" i="2"/>
  <c r="C133" i="2" s="1"/>
  <c r="B154" i="1"/>
  <c r="B155" i="1" s="1"/>
  <c r="C144" i="1"/>
  <c r="C143" i="1"/>
  <c r="B148" i="1" s="1"/>
  <c r="B151" i="1" s="1"/>
  <c r="C92" i="2" l="1"/>
  <c r="C135" i="2"/>
  <c r="C136" i="2"/>
  <c r="B92" i="2"/>
  <c r="C127" i="2"/>
  <c r="C126" i="2"/>
  <c r="C134" i="2"/>
  <c r="B150" i="1"/>
</calcChain>
</file>

<file path=xl/sharedStrings.xml><?xml version="1.0" encoding="utf-8"?>
<sst xmlns="http://schemas.openxmlformats.org/spreadsheetml/2006/main" count="300" uniqueCount="161">
  <si>
    <t>ESERCIZIO: PROFILO SOTTILE SOGGETTO A SOLLECITAZIONI DI PRESSO-FLESSIONE + TAGLIO-TORSIONE</t>
  </si>
  <si>
    <t>Si consideri una trave incastrata soggetta ad un carico distribuito verso il basso di 3,5kN/m, azione di compressione centrata di 50kN e luce 4m con sezione di figura. Tracciare il diagramma dello stato di sforzo normale (sigma), degli stati di sforzo tangenziali  (tau da taglio, tau da torsione). Per il punto A disegnare il cerchio di Mohr e calcolare sforzi e direzioni principali.</t>
  </si>
  <si>
    <t>Nota: considerare come asse di azione del carico il punto medio del lato superiore</t>
  </si>
  <si>
    <t>N max</t>
  </si>
  <si>
    <t>kN</t>
  </si>
  <si>
    <t>(azione assiale all'incastro)</t>
  </si>
  <si>
    <t>T max</t>
  </si>
  <si>
    <t>(taglio all'incastro)</t>
  </si>
  <si>
    <t>M max</t>
  </si>
  <si>
    <t>kNm</t>
  </si>
  <si>
    <t>(momento flettente all'incastro)</t>
  </si>
  <si>
    <t>Tema:</t>
  </si>
  <si>
    <t>Tabella geometria:</t>
  </si>
  <si>
    <t>Figura</t>
  </si>
  <si>
    <r>
      <rPr>
        <b/>
        <sz val="11"/>
        <color theme="1"/>
        <rFont val="Calibri"/>
      </rPr>
      <t>B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</si>
  <si>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H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</si>
  <si>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A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</si>
  <si>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x'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</si>
  <si>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y'</t>
    </r>
    <r>
      <rPr>
        <b/>
        <vertAlign val="subscript"/>
        <sz val="11"/>
        <color theme="1"/>
        <rFont val="Calibri"/>
      </rPr>
      <t>i</t>
    </r>
  </si>
  <si>
    <t>[-]</t>
  </si>
  <si>
    <t>[mm]</t>
  </si>
  <si>
    <r>
      <rPr>
        <sz val="11"/>
        <color theme="1"/>
        <rFont val="Calibri"/>
      </rPr>
      <t>[mm</t>
    </r>
    <r>
      <rPr>
        <vertAlign val="superscript"/>
        <sz val="11"/>
        <color theme="1"/>
        <rFont val="Calibri"/>
      </rPr>
      <t>2</t>
    </r>
    <r>
      <rPr>
        <sz val="11"/>
        <color theme="1"/>
        <rFont val="Calibri"/>
      </rPr>
      <t>]</t>
    </r>
  </si>
  <si>
    <t>Calcolo area totale</t>
  </si>
  <si>
    <t>A</t>
  </si>
  <si>
    <r>
      <rPr>
        <sz val="11"/>
        <color theme="1"/>
        <rFont val="Calibri"/>
      </rPr>
      <t>mm</t>
    </r>
    <r>
      <rPr>
        <vertAlign val="superscript"/>
        <sz val="11"/>
        <color theme="1"/>
        <rFont val="Calibri"/>
      </rPr>
      <t>2</t>
    </r>
  </si>
  <si>
    <t>Calcolo dei momenti statici rispetto agli assi x'-y'</t>
  </si>
  <si>
    <t>Sx'</t>
  </si>
  <si>
    <r>
      <rPr>
        <sz val="11"/>
        <color theme="1"/>
        <rFont val="Calibri"/>
      </rPr>
      <t>mm</t>
    </r>
    <r>
      <rPr>
        <vertAlign val="superscript"/>
        <sz val="11"/>
        <color theme="1"/>
        <rFont val="Calibri"/>
      </rPr>
      <t>3</t>
    </r>
  </si>
  <si>
    <t>Sy'</t>
  </si>
  <si>
    <r>
      <rPr>
        <sz val="11"/>
        <color theme="1"/>
        <rFont val="Calibri"/>
      </rPr>
      <t>mm</t>
    </r>
    <r>
      <rPr>
        <vertAlign val="superscript"/>
        <sz val="11"/>
        <color theme="1"/>
        <rFont val="Calibri"/>
      </rPr>
      <t>3</t>
    </r>
  </si>
  <si>
    <t>Calcolo della posizione del baricentro nel sistema x'-y'</t>
  </si>
  <si>
    <t>x'G</t>
  </si>
  <si>
    <t>mm</t>
  </si>
  <si>
    <t>y'G</t>
  </si>
  <si>
    <t>Calcolo dei momenti d'inerzia rispetto agli assi x-y (paralleli a x'-y' ma passanti per il baricentro G)</t>
  </si>
  <si>
    <r>
      <rPr>
        <b/>
        <sz val="11"/>
        <color theme="1"/>
        <rFont val="Calibri"/>
      </rPr>
      <t>B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</si>
  <si>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H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</si>
  <si>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A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</si>
  <si>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x'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</si>
  <si>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y'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</si>
  <si>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I</t>
    </r>
    <r>
      <rPr>
        <b/>
        <vertAlign val="subscript"/>
        <sz val="11"/>
        <color theme="1"/>
        <rFont val="Calibri"/>
      </rPr>
      <t>xx,i</t>
    </r>
  </si>
  <si>
    <r>
      <rPr>
        <b/>
        <sz val="11"/>
        <color theme="1"/>
        <rFont val="Calibri"/>
      </rPr>
      <t>I</t>
    </r>
    <r>
      <rPr>
        <b/>
        <vertAlign val="subscript"/>
        <sz val="11"/>
        <color theme="1"/>
        <rFont val="Calibri"/>
      </rPr>
      <t>yy,i</t>
    </r>
  </si>
  <si>
    <r>
      <rPr>
        <b/>
        <sz val="11"/>
        <color theme="1"/>
        <rFont val="Calibri"/>
      </rPr>
      <t>I</t>
    </r>
    <r>
      <rPr>
        <b/>
        <vertAlign val="subscript"/>
        <sz val="11"/>
        <color theme="1"/>
        <rFont val="Calibri"/>
      </rPr>
      <t>xy,i</t>
    </r>
  </si>
  <si>
    <r>
      <rPr>
        <sz val="11"/>
        <color theme="1"/>
        <rFont val="Calibri"/>
      </rPr>
      <t>[mm</t>
    </r>
    <r>
      <rPr>
        <vertAlign val="superscript"/>
        <sz val="11"/>
        <color theme="1"/>
        <rFont val="Calibri"/>
      </rPr>
      <t>2</t>
    </r>
    <r>
      <rPr>
        <sz val="11"/>
        <color theme="1"/>
        <rFont val="Calibri"/>
      </rPr>
      <t>]</t>
    </r>
  </si>
  <si>
    <r>
      <rPr>
        <sz val="11"/>
        <color theme="1"/>
        <rFont val="Calibri"/>
      </rPr>
      <t>[mm</t>
    </r>
    <r>
      <rPr>
        <vertAlign val="superscript"/>
        <sz val="11"/>
        <color theme="1"/>
        <rFont val="Calibri"/>
      </rPr>
      <t>4</t>
    </r>
    <r>
      <rPr>
        <sz val="11"/>
        <color theme="1"/>
        <rFont val="Calibri"/>
      </rPr>
      <t>]</t>
    </r>
  </si>
  <si>
    <r>
      <rPr>
        <sz val="11"/>
        <color theme="1"/>
        <rFont val="Calibri"/>
      </rPr>
      <t>[mm</t>
    </r>
    <r>
      <rPr>
        <vertAlign val="superscript"/>
        <sz val="11"/>
        <color theme="1"/>
        <rFont val="Calibri"/>
      </rPr>
      <t>4</t>
    </r>
    <r>
      <rPr>
        <sz val="11"/>
        <color theme="1"/>
        <rFont val="Calibri"/>
      </rPr>
      <t>]</t>
    </r>
  </si>
  <si>
    <r>
      <rPr>
        <sz val="11"/>
        <color theme="1"/>
        <rFont val="Calibri"/>
      </rPr>
      <t>[mm</t>
    </r>
    <r>
      <rPr>
        <vertAlign val="superscript"/>
        <sz val="11"/>
        <color theme="1"/>
        <rFont val="Calibri"/>
      </rPr>
      <t>4</t>
    </r>
    <r>
      <rPr>
        <sz val="11"/>
        <color theme="1"/>
        <rFont val="Calibri"/>
      </rPr>
      <t>]</t>
    </r>
  </si>
  <si>
    <r>
      <rPr>
        <sz val="11"/>
        <color theme="1"/>
        <rFont val="Calibri"/>
      </rPr>
      <t>I</t>
    </r>
    <r>
      <rPr>
        <vertAlign val="subscript"/>
        <sz val="11"/>
        <color theme="1"/>
        <rFont val="Calibri"/>
      </rPr>
      <t>xx</t>
    </r>
  </si>
  <si>
    <r>
      <rPr>
        <sz val="11"/>
        <color theme="1"/>
        <rFont val="Calibri"/>
      </rPr>
      <t>mm</t>
    </r>
    <r>
      <rPr>
        <vertAlign val="superscript"/>
        <sz val="11"/>
        <color theme="1"/>
        <rFont val="Calibri"/>
      </rPr>
      <t>4</t>
    </r>
  </si>
  <si>
    <r>
      <rPr>
        <sz val="11"/>
        <color theme="1"/>
        <rFont val="Calibri"/>
      </rPr>
      <t>I</t>
    </r>
    <r>
      <rPr>
        <vertAlign val="subscript"/>
        <sz val="11"/>
        <color theme="1"/>
        <rFont val="Calibri"/>
      </rPr>
      <t>yy</t>
    </r>
  </si>
  <si>
    <r>
      <rPr>
        <sz val="11"/>
        <color theme="1"/>
        <rFont val="Calibri"/>
      </rPr>
      <t>mm</t>
    </r>
    <r>
      <rPr>
        <vertAlign val="superscript"/>
        <sz val="11"/>
        <color theme="1"/>
        <rFont val="Calibri"/>
      </rPr>
      <t>4</t>
    </r>
  </si>
  <si>
    <t>Calcolo degli sforzi normali da presso-flessione</t>
  </si>
  <si>
    <t>Mx</t>
  </si>
  <si>
    <t>Nmm</t>
  </si>
  <si>
    <t>N</t>
  </si>
  <si>
    <t>Punto</t>
  </si>
  <si>
    <t>x [mm]</t>
  </si>
  <si>
    <t>y [mm]</t>
  </si>
  <si>
    <t>sig. [MPa]</t>
  </si>
  <si>
    <t>LM sup</t>
  </si>
  <si>
    <t>ogni</t>
  </si>
  <si>
    <t>Baricen</t>
  </si>
  <si>
    <t>LM inf</t>
  </si>
  <si>
    <t>Calcolo dello sforzo tangenziale da taglio centrato</t>
  </si>
  <si>
    <t>T</t>
  </si>
  <si>
    <t>Tratto eps1</t>
  </si>
  <si>
    <t>b</t>
  </si>
  <si>
    <t>eps 1 [mm]</t>
  </si>
  <si>
    <t>S* [mm3]</t>
  </si>
  <si>
    <t>t [MPa]</t>
  </si>
  <si>
    <t>Tratto eps2</t>
  </si>
  <si>
    <t>eps 2 [mm]</t>
  </si>
  <si>
    <t>Calcolo dello sforzo tangenziale da torsione</t>
  </si>
  <si>
    <t>Calcolo risultanti flussi di taglio nei profili</t>
  </si>
  <si>
    <t>F1</t>
  </si>
  <si>
    <t>F2</t>
  </si>
  <si>
    <t>d</t>
  </si>
  <si>
    <t>a</t>
  </si>
  <si>
    <t>Mt</t>
  </si>
  <si>
    <t>LM</t>
  </si>
  <si>
    <r>
      <rPr>
        <b/>
        <sz val="11"/>
        <color theme="1"/>
        <rFont val="Calibri"/>
      </rPr>
      <t>L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</si>
  <si>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t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</si>
  <si>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A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</si>
  <si>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J</t>
    </r>
    <r>
      <rPr>
        <b/>
        <vertAlign val="subscript"/>
        <sz val="11"/>
        <color theme="1"/>
        <rFont val="Calibri"/>
      </rPr>
      <t>i</t>
    </r>
  </si>
  <si>
    <r>
      <rPr>
        <sz val="11"/>
        <color theme="1"/>
        <rFont val="Calibri"/>
      </rPr>
      <t>[mm</t>
    </r>
    <r>
      <rPr>
        <vertAlign val="superscript"/>
        <sz val="11"/>
        <color theme="1"/>
        <rFont val="Calibri"/>
      </rPr>
      <t>2</t>
    </r>
    <r>
      <rPr>
        <sz val="11"/>
        <color theme="1"/>
        <rFont val="Calibri"/>
      </rPr>
      <t>]</t>
    </r>
  </si>
  <si>
    <r>
      <rPr>
        <sz val="11"/>
        <color theme="1"/>
        <rFont val="Calibri"/>
      </rPr>
      <t>[mm</t>
    </r>
    <r>
      <rPr>
        <vertAlign val="superscript"/>
        <sz val="11"/>
        <color theme="1"/>
        <rFont val="Calibri"/>
      </rPr>
      <t>4</t>
    </r>
    <r>
      <rPr>
        <sz val="11"/>
        <color theme="1"/>
        <rFont val="Calibri"/>
      </rPr>
      <t>]</t>
    </r>
  </si>
  <si>
    <t>J</t>
  </si>
  <si>
    <t>mm4</t>
  </si>
  <si>
    <t>Calcolo sforzi da torsione</t>
  </si>
  <si>
    <r>
      <rPr>
        <b/>
        <sz val="11"/>
        <color theme="1"/>
        <rFont val="Calibri"/>
      </rPr>
      <t>L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</si>
  <si>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t</t>
    </r>
    <r>
      <rPr>
        <b/>
        <vertAlign val="subscript"/>
        <sz val="11"/>
        <color theme="1"/>
        <rFont val="Calibri"/>
      </rPr>
      <t>i</t>
    </r>
  </si>
  <si>
    <r>
      <rPr>
        <b/>
        <sz val="11"/>
        <color theme="1"/>
        <rFont val="Calibri"/>
      </rPr>
      <t>τ</t>
    </r>
    <r>
      <rPr>
        <b/>
        <vertAlign val="subscript"/>
        <sz val="11"/>
        <color theme="1"/>
        <rFont val="Calibri"/>
      </rPr>
      <t>i</t>
    </r>
  </si>
  <si>
    <t>[MPa]</t>
  </si>
  <si>
    <t>Analisi del punto A</t>
  </si>
  <si>
    <t>Calcolo sforzi totali</t>
  </si>
  <si>
    <t>sigma</t>
  </si>
  <si>
    <t>MPa</t>
  </si>
  <si>
    <t>tau</t>
  </si>
  <si>
    <t>(diretto verso l'alto)</t>
  </si>
  <si>
    <t>Sforzi secondo convenzione di Mohr</t>
  </si>
  <si>
    <t>sigma xx</t>
  </si>
  <si>
    <t>sigma yy</t>
  </si>
  <si>
    <t>tau xy</t>
  </si>
  <si>
    <t>Coordinate sul piano di Mohr</t>
  </si>
  <si>
    <t>B</t>
  </si>
  <si>
    <t>C</t>
  </si>
  <si>
    <t>R</t>
  </si>
  <si>
    <t>sig I</t>
  </si>
  <si>
    <t>sig II</t>
  </si>
  <si>
    <t>alpha</t>
  </si>
  <si>
    <t>rad</t>
  </si>
  <si>
    <t>°</t>
  </si>
  <si>
    <t>antirorario se positivo</t>
  </si>
  <si>
    <t>inf</t>
  </si>
  <si>
    <t>sup</t>
  </si>
  <si>
    <t>lembo</t>
  </si>
  <si>
    <t>eps 3 [mm]</t>
  </si>
  <si>
    <t>sinistra</t>
  </si>
  <si>
    <t>destra</t>
  </si>
  <si>
    <t>Calcolo sforzo tangenziale totale nei profili (in modulo, segni in figura)</t>
  </si>
  <si>
    <r>
      <rPr>
        <b/>
        <sz val="11"/>
        <color theme="1"/>
        <rFont val="Calibri"/>
        <family val="2"/>
      </rPr>
      <t>τ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</si>
  <si>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</si>
  <si>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</si>
  <si>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M</t>
  </si>
  <si>
    <t>Calcolo sforzo tangenziale nei profili</t>
  </si>
  <si>
    <r>
      <t>mm</t>
    </r>
    <r>
      <rPr>
        <vertAlign val="superscript"/>
        <sz val="11"/>
        <color theme="1"/>
        <rFont val="Calibri"/>
        <family val="2"/>
        <scheme val="minor"/>
      </rPr>
      <t>4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</si>
  <si>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</si>
  <si>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t>Calcolo area totale e momento d'inerzia torsionale totale</t>
  </si>
  <si>
    <r>
      <t>[mm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scheme val="minor"/>
      </rPr>
      <t>]</t>
    </r>
  </si>
  <si>
    <r>
      <t>[mm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scheme val="minor"/>
      </rPr>
      <t>]</t>
    </r>
  </si>
  <si>
    <r>
      <t>J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</si>
  <si>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</si>
  <si>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Calcolo dello sforzo tangenziale da torsione in ogni tratto</t>
  </si>
  <si>
    <t>1 - 2 -&gt; 3</t>
  </si>
  <si>
    <t>da sotto</t>
  </si>
  <si>
    <t>da sopra</t>
  </si>
  <si>
    <t>Interfaccia</t>
  </si>
  <si>
    <t>Verifica flussi (da verificare in modulo)</t>
  </si>
  <si>
    <t>Tratto eps3</t>
  </si>
  <si>
    <t>Calcolo dello sforzo tangenziale da solo taglio in ogni tratto</t>
  </si>
  <si>
    <r>
      <t>I</t>
    </r>
    <r>
      <rPr>
        <vertAlign val="subscript"/>
        <sz val="11"/>
        <color theme="1"/>
        <rFont val="Calibri"/>
        <family val="2"/>
        <scheme val="minor"/>
      </rPr>
      <t>yy</t>
    </r>
  </si>
  <si>
    <r>
      <t>I</t>
    </r>
    <r>
      <rPr>
        <vertAlign val="subscript"/>
        <sz val="11"/>
        <color theme="1"/>
        <rFont val="Calibri"/>
        <family val="2"/>
        <scheme val="minor"/>
      </rPr>
      <t>xx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</si>
  <si>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xy,i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</si>
  <si>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yy,i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</si>
  <si>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xx,i</t>
    </r>
  </si>
  <si>
    <r>
      <t>y'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</si>
  <si>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x'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</si>
  <si>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H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</si>
  <si>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</si>
  <si>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3</t>
    </r>
  </si>
  <si>
    <t>ESERCIZIO: PROFILO SOTTILE SOGGETTO A SOLLECITAZIONI DI FLESSIONE + TAGLIO-TORSIONE</t>
  </si>
  <si>
    <t>Calcolo dello sforzo normale da flessione retta</t>
  </si>
  <si>
    <t>Lembo</t>
  </si>
  <si>
    <t>Superiore</t>
  </si>
  <si>
    <t>Inferiore</t>
  </si>
  <si>
    <t>sig [Mpa]</t>
  </si>
  <si>
    <t>La sezione di trave in figura è soggetta ad un taglio verticale di 8kN nella posizione di figura ed un momento flettente orizzontale (concorde con asse x') di intensità 25kNm. Calcolare gli sforzi in tutta la sezione e verificare il materiale in norma di Von Mises (sig amm=300 MPa)</t>
  </si>
  <si>
    <t>Verifiche in alcuni punti caratteristici</t>
  </si>
  <si>
    <t>Punto 1: lembo superiore della trave (massima compressione e massima tau)</t>
  </si>
  <si>
    <t>Punto 2: lembo inferiore della trave (massima trazione)</t>
  </si>
  <si>
    <t>sig 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</si>
</sst>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u/>
      <sz val="11"/>
      <color theme="1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</font>
    <font>
      <i/>
      <sz val="11"/>
      <color theme="1"/>
      <name val="Calibri"/>
    </font>
    <font>
      <b/>
      <vertAlign val="subscript"/>
      <sz val="11"/>
      <color theme="1"/>
      <name val="Calibri"/>
    </font>
    <font>
      <vertAlign val="superscript"/>
      <sz val="11"/>
      <color theme="1"/>
      <name val="Calibri"/>
    </font>
    <font>
      <vertAlign val="subscript"/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2060"/>
      </left>
      <right style="thin">
        <color rgb="FF000000"/>
      </right>
      <top style="thick">
        <color rgb="FF002060"/>
      </top>
      <bottom/>
      <diagonal/>
    </border>
    <border>
      <left style="thin">
        <color rgb="FF000000"/>
      </left>
      <right style="thin">
        <color rgb="FF000000"/>
      </right>
      <top style="thick">
        <color rgb="FF002060"/>
      </top>
      <bottom/>
      <diagonal/>
    </border>
    <border>
      <left style="thin">
        <color rgb="FF000000"/>
      </left>
      <right style="thick">
        <color rgb="FF002060"/>
      </right>
      <top style="thick">
        <color rgb="FF00206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206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2060"/>
      </right>
      <top/>
      <bottom style="thin">
        <color rgb="FF000000"/>
      </bottom>
      <diagonal/>
    </border>
    <border>
      <left style="thick">
        <color rgb="FF00206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2060"/>
      </right>
      <top/>
      <bottom style="thin">
        <color rgb="FF000000"/>
      </bottom>
      <diagonal/>
    </border>
    <border>
      <left style="thick">
        <color rgb="FF002060"/>
      </left>
      <right style="thin">
        <color rgb="FF000000"/>
      </right>
      <top/>
      <bottom style="thick">
        <color rgb="FF002060"/>
      </bottom>
      <diagonal/>
    </border>
    <border>
      <left style="thin">
        <color rgb="FF000000"/>
      </left>
      <right style="thin">
        <color rgb="FF000000"/>
      </right>
      <top/>
      <bottom style="thick">
        <color rgb="FF002060"/>
      </bottom>
      <diagonal/>
    </border>
    <border>
      <left style="thin">
        <color rgb="FF000000"/>
      </left>
      <right style="thick">
        <color rgb="FF002060"/>
      </right>
      <top/>
      <bottom style="thick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rgb="FF002060"/>
      </right>
      <top/>
      <bottom style="thick">
        <color rgb="FF002060"/>
      </bottom>
      <diagonal/>
    </border>
    <border>
      <left style="thin">
        <color auto="1"/>
      </left>
      <right style="thin">
        <color auto="1"/>
      </right>
      <top/>
      <bottom style="thick">
        <color rgb="FF002060"/>
      </bottom>
      <diagonal/>
    </border>
    <border>
      <left style="thick">
        <color rgb="FF002060"/>
      </left>
      <right style="thin">
        <color auto="1"/>
      </right>
      <top/>
      <bottom style="thick">
        <color rgb="FF002060"/>
      </bottom>
      <diagonal/>
    </border>
    <border>
      <left style="thin">
        <color auto="1"/>
      </left>
      <right style="thick">
        <color rgb="FF002060"/>
      </right>
      <top/>
      <bottom style="thin">
        <color indexed="64"/>
      </bottom>
      <diagonal/>
    </border>
    <border>
      <left style="thick">
        <color rgb="FF002060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ck">
        <color rgb="FF002060"/>
      </right>
      <top style="thick">
        <color rgb="FF002060"/>
      </top>
      <bottom/>
      <diagonal/>
    </border>
    <border>
      <left style="thin">
        <color auto="1"/>
      </left>
      <right style="thin">
        <color auto="1"/>
      </right>
      <top style="thick">
        <color rgb="FF002060"/>
      </top>
      <bottom/>
      <diagonal/>
    </border>
    <border>
      <left style="thick">
        <color rgb="FF002060"/>
      </left>
      <right style="thin">
        <color auto="1"/>
      </right>
      <top style="thick">
        <color rgb="FF002060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/>
    <xf numFmtId="2" fontId="3" fillId="0" borderId="0" xfId="0" applyNumberFormat="1" applyFont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" fontId="3" fillId="0" borderId="0" xfId="0" applyNumberFormat="1" applyFont="1"/>
    <xf numFmtId="0" fontId="6" fillId="0" borderId="0" xfId="0" applyFont="1"/>
    <xf numFmtId="164" fontId="3" fillId="0" borderId="0" xfId="0" applyNumberFormat="1" applyFont="1"/>
    <xf numFmtId="0" fontId="7" fillId="0" borderId="0" xfId="0" applyFont="1"/>
    <xf numFmtId="0" fontId="3" fillId="0" borderId="4" xfId="0" applyFont="1" applyBorder="1"/>
    <xf numFmtId="1" fontId="3" fillId="0" borderId="4" xfId="0" applyNumberFormat="1" applyFont="1" applyBorder="1"/>
    <xf numFmtId="164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11" fontId="3" fillId="0" borderId="0" xfId="0" applyNumberFormat="1" applyFont="1"/>
    <xf numFmtId="11" fontId="3" fillId="0" borderId="4" xfId="0" applyNumberFormat="1" applyFont="1" applyBorder="1"/>
    <xf numFmtId="2" fontId="3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0" xfId="1"/>
    <xf numFmtId="1" fontId="1" fillId="0" borderId="17" xfId="1" applyNumberFormat="1" applyBorder="1"/>
    <xf numFmtId="0" fontId="1" fillId="0" borderId="17" xfId="1" applyBorder="1" applyAlignment="1">
      <alignment horizontal="center"/>
    </xf>
    <xf numFmtId="0" fontId="12" fillId="0" borderId="17" xfId="1" applyFont="1" applyBorder="1" applyAlignment="1">
      <alignment horizontal="center"/>
    </xf>
    <xf numFmtId="11" fontId="1" fillId="0" borderId="17" xfId="1" applyNumberFormat="1" applyBorder="1"/>
    <xf numFmtId="0" fontId="1" fillId="0" borderId="17" xfId="1" applyBorder="1"/>
    <xf numFmtId="2" fontId="1" fillId="0" borderId="17" xfId="1" applyNumberFormat="1" applyBorder="1" applyAlignment="1">
      <alignment horizontal="center"/>
    </xf>
    <xf numFmtId="0" fontId="13" fillId="0" borderId="0" xfId="1" applyFont="1"/>
    <xf numFmtId="164" fontId="1" fillId="0" borderId="18" xfId="1" applyNumberFormat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3" borderId="18" xfId="1" applyFill="1" applyBorder="1" applyAlignment="1">
      <alignment horizontal="center"/>
    </xf>
    <xf numFmtId="0" fontId="11" fillId="3" borderId="19" xfId="1" applyFont="1" applyFill="1" applyBorder="1" applyAlignment="1">
      <alignment horizontal="center"/>
    </xf>
    <xf numFmtId="0" fontId="16" fillId="0" borderId="0" xfId="1" applyFont="1"/>
    <xf numFmtId="11" fontId="1" fillId="0" borderId="0" xfId="1" applyNumberFormat="1"/>
    <xf numFmtId="2" fontId="1" fillId="0" borderId="17" xfId="1" applyNumberFormat="1" applyBorder="1"/>
    <xf numFmtId="49" fontId="1" fillId="0" borderId="17" xfId="1" applyNumberFormat="1" applyBorder="1"/>
    <xf numFmtId="164" fontId="1" fillId="0" borderId="0" xfId="1" applyNumberFormat="1"/>
    <xf numFmtId="2" fontId="1" fillId="0" borderId="0" xfId="1" applyNumberFormat="1"/>
    <xf numFmtId="164" fontId="1" fillId="0" borderId="0" xfId="1" applyNumberFormat="1" applyAlignment="1">
      <alignment horizontal="right"/>
    </xf>
    <xf numFmtId="0" fontId="18" fillId="0" borderId="0" xfId="1" applyFont="1"/>
    <xf numFmtId="165" fontId="1" fillId="0" borderId="0" xfId="1" applyNumberFormat="1"/>
    <xf numFmtId="1" fontId="1" fillId="0" borderId="0" xfId="1" applyNumberFormat="1"/>
    <xf numFmtId="0" fontId="1" fillId="0" borderId="20" xfId="1" applyBorder="1" applyAlignment="1">
      <alignment horizontal="center"/>
    </xf>
    <xf numFmtId="1" fontId="1" fillId="0" borderId="21" xfId="1" applyNumberFormat="1" applyBorder="1" applyAlignment="1">
      <alignment horizontal="center"/>
    </xf>
    <xf numFmtId="1" fontId="1" fillId="0" borderId="22" xfId="1" applyNumberFormat="1" applyBorder="1" applyAlignment="1">
      <alignment horizontal="center"/>
    </xf>
    <xf numFmtId="0" fontId="1" fillId="0" borderId="23" xfId="1" applyBorder="1" applyAlignment="1">
      <alignment horizontal="center"/>
    </xf>
    <xf numFmtId="1" fontId="1" fillId="0" borderId="18" xfId="1" applyNumberFormat="1" applyBorder="1" applyAlignment="1">
      <alignment horizontal="center"/>
    </xf>
    <xf numFmtId="1" fontId="1" fillId="0" borderId="24" xfId="1" applyNumberFormat="1" applyBorder="1" applyAlignment="1">
      <alignment horizontal="center"/>
    </xf>
    <xf numFmtId="0" fontId="1" fillId="3" borderId="23" xfId="1" applyFill="1" applyBorder="1" applyAlignment="1">
      <alignment horizontal="center"/>
    </xf>
    <xf numFmtId="0" fontId="1" fillId="3" borderId="24" xfId="1" applyFill="1" applyBorder="1" applyAlignment="1">
      <alignment horizontal="center"/>
    </xf>
    <xf numFmtId="0" fontId="1" fillId="3" borderId="25" xfId="1" applyFill="1" applyBorder="1" applyAlignment="1">
      <alignment horizontal="center"/>
    </xf>
    <xf numFmtId="0" fontId="11" fillId="3" borderId="26" xfId="1" applyFont="1" applyFill="1" applyBorder="1" applyAlignment="1">
      <alignment horizontal="center"/>
    </xf>
    <xf numFmtId="0" fontId="11" fillId="3" borderId="27" xfId="1" applyFont="1" applyFill="1" applyBorder="1" applyAlignment="1">
      <alignment horizontal="center"/>
    </xf>
    <xf numFmtId="0" fontId="11" fillId="3" borderId="28" xfId="1" applyFont="1" applyFill="1" applyBorder="1" applyAlignment="1">
      <alignment horizontal="center"/>
    </xf>
    <xf numFmtId="0" fontId="11" fillId="3" borderId="29" xfId="1" applyFont="1" applyFill="1" applyBorder="1" applyAlignment="1">
      <alignment horizontal="center"/>
    </xf>
    <xf numFmtId="0" fontId="1" fillId="0" borderId="0" xfId="1" applyAlignment="1">
      <alignment vertical="justify"/>
    </xf>
    <xf numFmtId="0" fontId="1" fillId="0" borderId="0" xfId="1" applyAlignment="1">
      <alignment vertical="justify" wrapText="1"/>
    </xf>
    <xf numFmtId="2" fontId="1" fillId="0" borderId="18" xfId="1" applyNumberForma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vertical="center"/>
    </xf>
    <xf numFmtId="0" fontId="1" fillId="0" borderId="0" xfId="1" applyAlignment="1">
      <alignment horizontal="left" vertical="justify" wrapText="1"/>
    </xf>
    <xf numFmtId="0" fontId="1" fillId="0" borderId="0" xfId="1" applyAlignment="1">
      <alignment vertical="justify" wrapText="1"/>
    </xf>
  </cellXfs>
  <cellStyles count="2">
    <cellStyle name="Normale" xfId="0" builtinId="0"/>
    <cellStyle name="Normale 2" xfId="1" xr:uid="{EF8A6A1B-82D3-49FC-A65A-61C0C33DD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485775</xdr:colOff>
      <xdr:row>40</xdr:row>
      <xdr:rowOff>38100</xdr:rowOff>
    </xdr:from>
    <xdr:ext cx="1047750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25665" y="3606812"/>
          <a:ext cx="1040670" cy="34637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514350</xdr:colOff>
      <xdr:row>40</xdr:row>
      <xdr:rowOff>38100</xdr:rowOff>
    </xdr:from>
    <xdr:ext cx="1047750" cy="3524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25665" y="3606812"/>
          <a:ext cx="1040670" cy="34637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552450</xdr:colOff>
      <xdr:row>44</xdr:row>
      <xdr:rowOff>28575</xdr:rowOff>
    </xdr:from>
    <xdr:ext cx="571500" cy="3238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61243" y="3618225"/>
          <a:ext cx="569515" cy="3235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219075</xdr:colOff>
      <xdr:row>44</xdr:row>
      <xdr:rowOff>28575</xdr:rowOff>
    </xdr:from>
    <xdr:ext cx="581025" cy="3238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55793" y="3621559"/>
          <a:ext cx="580415" cy="316882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104775</xdr:colOff>
      <xdr:row>48</xdr:row>
      <xdr:rowOff>104775</xdr:rowOff>
    </xdr:from>
    <xdr:ext cx="2105025" cy="3238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293917" y="3621559"/>
          <a:ext cx="2104166" cy="316882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104775</xdr:colOff>
      <xdr:row>50</xdr:row>
      <xdr:rowOff>123825</xdr:rowOff>
    </xdr:from>
    <xdr:ext cx="2066925" cy="3238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314147" y="3621559"/>
          <a:ext cx="2063706" cy="316882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581025</xdr:colOff>
      <xdr:row>49</xdr:row>
      <xdr:rowOff>133350</xdr:rowOff>
    </xdr:from>
    <xdr:ext cx="1847850" cy="1905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425395" y="3688533"/>
          <a:ext cx="1841210" cy="18293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38100</xdr:colOff>
      <xdr:row>10</xdr:row>
      <xdr:rowOff>28575</xdr:rowOff>
    </xdr:from>
    <xdr:ext cx="2524125" cy="3705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180975</xdr:colOff>
      <xdr:row>59</xdr:row>
      <xdr:rowOff>0</xdr:rowOff>
    </xdr:from>
    <xdr:ext cx="2686050" cy="3800475"/>
    <xdr:pic>
      <xdr:nvPicPr>
        <xdr:cNvPr id="10" name="image4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47625</xdr:colOff>
      <xdr:row>89</xdr:row>
      <xdr:rowOff>0</xdr:rowOff>
    </xdr:from>
    <xdr:ext cx="2657475" cy="3895725"/>
    <xdr:pic>
      <xdr:nvPicPr>
        <xdr:cNvPr id="11" name="image5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209550</xdr:colOff>
      <xdr:row>133</xdr:row>
      <xdr:rowOff>161925</xdr:rowOff>
    </xdr:from>
    <xdr:ext cx="2667000" cy="3905250"/>
    <xdr:pic>
      <xdr:nvPicPr>
        <xdr:cNvPr id="12" name="image2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156</xdr:row>
      <xdr:rowOff>19050</xdr:rowOff>
    </xdr:from>
    <xdr:ext cx="2038350" cy="590550"/>
    <xdr:pic>
      <xdr:nvPicPr>
        <xdr:cNvPr id="13" name="image3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496490</xdr:colOff>
      <xdr:row>33</xdr:row>
      <xdr:rowOff>50006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FF1B5A20-FAB6-499F-B017-C9379A92435F}"/>
                </a:ext>
              </a:extLst>
            </xdr:cNvPr>
            <xdr:cNvSpPr txBox="1"/>
          </xdr:nvSpPr>
          <xdr:spPr>
            <a:xfrm>
              <a:off x="2934890" y="633650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FF1B5A20-FAB6-499F-B017-C9379A92435F}"/>
                </a:ext>
              </a:extLst>
            </xdr:cNvPr>
            <xdr:cNvSpPr txBox="1"/>
          </xdr:nvSpPr>
          <xdr:spPr>
            <a:xfrm>
              <a:off x="2934890" y="633650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𝑆_𝑥′=∑2_(𝑖=1)^3▒〖𝐴_𝑖 𝑦_𝑖′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523875</xdr:colOff>
      <xdr:row>33</xdr:row>
      <xdr:rowOff>47625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538B22EB-ECC8-47B0-B213-40ECBE612DB8}"/>
                </a:ext>
              </a:extLst>
            </xdr:cNvPr>
            <xdr:cNvSpPr txBox="1"/>
          </xdr:nvSpPr>
          <xdr:spPr>
            <a:xfrm>
              <a:off x="4181475" y="633412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538B22EB-ECC8-47B0-B213-40ECBE612DB8}"/>
                </a:ext>
              </a:extLst>
            </xdr:cNvPr>
            <xdr:cNvSpPr txBox="1"/>
          </xdr:nvSpPr>
          <xdr:spPr>
            <a:xfrm>
              <a:off x="4181475" y="633412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𝑆_𝑦′=∑2_(𝑖=1)^3▒〖𝐴_𝑖 𝑥_𝑖′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564175</xdr:colOff>
      <xdr:row>37</xdr:row>
      <xdr:rowOff>39015</xdr:rowOff>
    </xdr:from>
    <xdr:ext cx="569515" cy="323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EAD49687-9FD2-47FA-835B-7BA212E3267C}"/>
                </a:ext>
              </a:extLst>
            </xdr:cNvPr>
            <xdr:cNvSpPr txBox="1"/>
          </xdr:nvSpPr>
          <xdr:spPr>
            <a:xfrm>
              <a:off x="3002575" y="708751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EAD49687-9FD2-47FA-835B-7BA212E3267C}"/>
                </a:ext>
              </a:extLst>
            </xdr:cNvPr>
            <xdr:cNvSpPr txBox="1"/>
          </xdr:nvSpPr>
          <xdr:spPr>
            <a:xfrm>
              <a:off x="3002575" y="708751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〖𝑥′〗_𝐺=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𝑆_𝑦′/𝐴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227134</xdr:colOff>
      <xdr:row>37</xdr:row>
      <xdr:rowOff>36635</xdr:rowOff>
    </xdr:from>
    <xdr:ext cx="58041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143B7D8F-EE2B-4C24-BF07-741776A24144}"/>
                </a:ext>
              </a:extLst>
            </xdr:cNvPr>
            <xdr:cNvSpPr txBox="1"/>
          </xdr:nvSpPr>
          <xdr:spPr>
            <a:xfrm>
              <a:off x="3884734" y="708513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143B7D8F-EE2B-4C24-BF07-741776A24144}"/>
                </a:ext>
              </a:extLst>
            </xdr:cNvPr>
            <xdr:cNvSpPr txBox="1"/>
          </xdr:nvSpPr>
          <xdr:spPr>
            <a:xfrm>
              <a:off x="3884734" y="708513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〖𝑦′〗_𝐺=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𝑆_𝑥′/𝐴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117231</xdr:colOff>
      <xdr:row>41</xdr:row>
      <xdr:rowOff>117231</xdr:rowOff>
    </xdr:from>
    <xdr:ext cx="210416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789A8868-8312-4CD5-A9B2-1DC9B8EE367F}"/>
                </a:ext>
              </a:extLst>
            </xdr:cNvPr>
            <xdr:cNvSpPr txBox="1"/>
          </xdr:nvSpPr>
          <xdr:spPr>
            <a:xfrm>
              <a:off x="117231" y="792773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789A8868-8312-4CD5-A9B2-1DC9B8EE367F}"/>
                </a:ext>
              </a:extLst>
            </xdr:cNvPr>
            <xdr:cNvSpPr txBox="1"/>
          </xdr:nvSpPr>
          <xdr:spPr>
            <a:xfrm>
              <a:off x="117231" y="792773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𝐼_(𝑥𝑥,𝑖)=1/12 〖𝐵_𝑖〗^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〖𝐻_𝑖〗^3+𝐴_𝑖 (〖𝑦′〗_𝑖−〖𝑦′〗_𝐺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117230</xdr:colOff>
      <xdr:row>43</xdr:row>
      <xdr:rowOff>131884</xdr:rowOff>
    </xdr:from>
    <xdr:ext cx="206370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0E0EBDA9-46E8-4CAF-B055-CF8AC6096252}"/>
                </a:ext>
              </a:extLst>
            </xdr:cNvPr>
            <xdr:cNvSpPr txBox="1"/>
          </xdr:nvSpPr>
          <xdr:spPr>
            <a:xfrm>
              <a:off x="117230" y="832338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0E0EBDA9-46E8-4CAF-B055-CF8AC6096252}"/>
                </a:ext>
              </a:extLst>
            </xdr:cNvPr>
            <xdr:cNvSpPr txBox="1"/>
          </xdr:nvSpPr>
          <xdr:spPr>
            <a:xfrm>
              <a:off x="117230" y="832338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𝐼_(𝑦𝑦,𝑖)=1/12 〖𝐵_𝑖〗^3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 +𝐴_𝑖 (〖𝑥′〗_𝑖−〖𝑥′〗_𝐺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593481</xdr:colOff>
      <xdr:row>42</xdr:row>
      <xdr:rowOff>139212</xdr:rowOff>
    </xdr:from>
    <xdr:ext cx="1841210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B27BF6A9-86ED-41F2-AC2B-AA3C4A335848}"/>
                </a:ext>
              </a:extLst>
            </xdr:cNvPr>
            <xdr:cNvSpPr txBox="1"/>
          </xdr:nvSpPr>
          <xdr:spPr>
            <a:xfrm>
              <a:off x="2422281" y="814021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B27BF6A9-86ED-41F2-AC2B-AA3C4A335848}"/>
                </a:ext>
              </a:extLst>
            </xdr:cNvPr>
            <xdr:cNvSpPr txBox="1"/>
          </xdr:nvSpPr>
          <xdr:spPr>
            <a:xfrm>
              <a:off x="2422281" y="814021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𝐼_(𝑥𝑦,𝑖)=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𝐴_𝑖 (〖𝑥′〗_𝑖−〖𝑥′〗_𝐺 )(〖𝑦′〗_𝑖−〖𝑦′〗_𝐺 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155813</xdr:colOff>
      <xdr:row>6</xdr:row>
      <xdr:rowOff>148954</xdr:rowOff>
    </xdr:from>
    <xdr:ext cx="4549096" cy="2527571"/>
    <xdr:pic>
      <xdr:nvPicPr>
        <xdr:cNvPr id="9" name="Immagine 8">
          <a:extLst>
            <a:ext uri="{FF2B5EF4-FFF2-40B4-BE49-F238E27FC236}">
              <a16:creationId xmlns:a16="http://schemas.microsoft.com/office/drawing/2014/main" id="{1DF6BC9F-A357-47DC-A543-46933FDEC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5813" y="1291954"/>
          <a:ext cx="4549096" cy="2527571"/>
        </a:xfrm>
        <a:prstGeom prst="rect">
          <a:avLst/>
        </a:prstGeom>
      </xdr:spPr>
    </xdr:pic>
    <xdr:clientData/>
  </xdr:oneCellAnchor>
  <xdr:oneCellAnchor>
    <xdr:from>
      <xdr:col>3</xdr:col>
      <xdr:colOff>605117</xdr:colOff>
      <xdr:row>66</xdr:row>
      <xdr:rowOff>11099</xdr:rowOff>
    </xdr:from>
    <xdr:ext cx="4549096" cy="2460550"/>
    <xdr:pic>
      <xdr:nvPicPr>
        <xdr:cNvPr id="10" name="Immagine 9">
          <a:extLst>
            <a:ext uri="{FF2B5EF4-FFF2-40B4-BE49-F238E27FC236}">
              <a16:creationId xmlns:a16="http://schemas.microsoft.com/office/drawing/2014/main" id="{6178766D-B8AE-48CD-BFD0-4400791A0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33917" y="11441099"/>
          <a:ext cx="4549096" cy="2460550"/>
        </a:xfrm>
        <a:prstGeom prst="rect">
          <a:avLst/>
        </a:prstGeom>
      </xdr:spPr>
    </xdr:pic>
    <xdr:clientData/>
  </xdr:oneCellAnchor>
  <xdr:oneCellAnchor>
    <xdr:from>
      <xdr:col>3</xdr:col>
      <xdr:colOff>95250</xdr:colOff>
      <xdr:row>105</xdr:row>
      <xdr:rowOff>147637</xdr:rowOff>
    </xdr:from>
    <xdr:ext cx="1122102" cy="3456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asellaDiTesto 10">
              <a:extLst>
                <a:ext uri="{FF2B5EF4-FFF2-40B4-BE49-F238E27FC236}">
                  <a16:creationId xmlns:a16="http://schemas.microsoft.com/office/drawing/2014/main" id="{3E93B5C6-C3DD-4D52-9C6C-413BF93860E1}"/>
                </a:ext>
              </a:extLst>
            </xdr:cNvPr>
            <xdr:cNvSpPr txBox="1"/>
          </xdr:nvSpPr>
          <xdr:spPr>
            <a:xfrm>
              <a:off x="1924050" y="19007137"/>
              <a:ext cx="1122102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𝐽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Sup>
                          <m:sSubSup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  <m:sup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1" name="CasellaDiTesto 10">
              <a:extLst>
                <a:ext uri="{FF2B5EF4-FFF2-40B4-BE49-F238E27FC236}">
                  <a16:creationId xmlns:a16="http://schemas.microsoft.com/office/drawing/2014/main" id="{3E93B5C6-C3DD-4D52-9C6C-413BF93860E1}"/>
                </a:ext>
              </a:extLst>
            </xdr:cNvPr>
            <xdr:cNvSpPr txBox="1"/>
          </xdr:nvSpPr>
          <xdr:spPr>
            <a:xfrm>
              <a:off x="1924050" y="19007137"/>
              <a:ext cx="1122102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𝐽=1/3 ∑2_(𝑖=1)^4▒〖𝐿_𝑖⋅𝑡_𝑖^3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114</xdr:row>
      <xdr:rowOff>114300</xdr:rowOff>
    </xdr:from>
    <xdr:ext cx="610360" cy="3424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asellaDiTesto 11">
              <a:extLst>
                <a:ext uri="{FF2B5EF4-FFF2-40B4-BE49-F238E27FC236}">
                  <a16:creationId xmlns:a16="http://schemas.microsoft.com/office/drawing/2014/main" id="{B1F32CE6-3F1C-4CB2-B178-531424067942}"/>
                </a:ext>
              </a:extLst>
            </xdr:cNvPr>
            <xdr:cNvSpPr txBox="1"/>
          </xdr:nvSpPr>
          <xdr:spPr>
            <a:xfrm>
              <a:off x="2657475" y="20688300"/>
              <a:ext cx="61036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𝜏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𝐽</m:t>
                        </m:r>
                      </m:den>
                    </m:f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2" name="CasellaDiTesto 11">
              <a:extLst>
                <a:ext uri="{FF2B5EF4-FFF2-40B4-BE49-F238E27FC236}">
                  <a16:creationId xmlns:a16="http://schemas.microsoft.com/office/drawing/2014/main" id="{B1F32CE6-3F1C-4CB2-B178-531424067942}"/>
                </a:ext>
              </a:extLst>
            </xdr:cNvPr>
            <xdr:cNvSpPr txBox="1"/>
          </xdr:nvSpPr>
          <xdr:spPr>
            <a:xfrm>
              <a:off x="2657475" y="20688300"/>
              <a:ext cx="61036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𝜏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</a:t>
              </a:r>
              <a:r>
                <a:rPr lang="it-IT" sz="1100" b="0" i="0">
                  <a:latin typeface="Cambria Math" panose="02040503050406030204" pitchFamily="18" charset="0"/>
                </a:rPr>
                <a:t>=𝑀_𝑡/𝐽 𝑡_𝑖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619942</xdr:colOff>
      <xdr:row>123</xdr:row>
      <xdr:rowOff>156882</xdr:rowOff>
    </xdr:from>
    <xdr:ext cx="4779313" cy="3092823"/>
    <xdr:pic>
      <xdr:nvPicPr>
        <xdr:cNvPr id="13" name="Immagine 12">
          <a:extLst>
            <a:ext uri="{FF2B5EF4-FFF2-40B4-BE49-F238E27FC236}">
              <a16:creationId xmlns:a16="http://schemas.microsoft.com/office/drawing/2014/main" id="{536CD7A7-CBCA-4B89-85D0-855E3D88F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39217" y="22445382"/>
          <a:ext cx="4779313" cy="30928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/>
  </sheetViews>
  <sheetFormatPr defaultColWidth="14.42578125" defaultRowHeight="15" customHeight="1" x14ac:dyDescent="0.25"/>
  <cols>
    <col min="1" max="1" width="8.7109375" customWidth="1"/>
    <col min="2" max="2" width="11.85546875" customWidth="1"/>
    <col min="3" max="3" width="11.5703125" customWidth="1"/>
    <col min="4" max="4" width="9.7109375" customWidth="1"/>
    <col min="5" max="6" width="8.7109375" customWidth="1"/>
    <col min="7" max="7" width="13.140625" customWidth="1"/>
    <col min="8" max="8" width="11.85546875" customWidth="1"/>
    <col min="9" max="9" width="10.42578125" customWidth="1"/>
    <col min="10" max="26" width="8.7109375" customWidth="1"/>
  </cols>
  <sheetData>
    <row r="1" spans="1:9" x14ac:dyDescent="0.25">
      <c r="A1" s="1" t="s">
        <v>0</v>
      </c>
    </row>
    <row r="3" spans="1:9" ht="16.5" customHeight="1" x14ac:dyDescent="0.25">
      <c r="A3" s="74" t="s">
        <v>1</v>
      </c>
      <c r="B3" s="75"/>
      <c r="C3" s="75"/>
      <c r="D3" s="75"/>
      <c r="E3" s="75"/>
      <c r="F3" s="75"/>
      <c r="G3" s="75"/>
      <c r="H3" s="75"/>
      <c r="I3" s="2"/>
    </row>
    <row r="4" spans="1:9" ht="60.75" customHeight="1" x14ac:dyDescent="0.25">
      <c r="A4" s="75"/>
      <c r="B4" s="75"/>
      <c r="C4" s="75"/>
      <c r="D4" s="75"/>
      <c r="E4" s="75"/>
      <c r="F4" s="75"/>
      <c r="G4" s="75"/>
      <c r="H4" s="75"/>
      <c r="I4" s="2"/>
    </row>
    <row r="5" spans="1:9" ht="18" customHeight="1" x14ac:dyDescent="0.25">
      <c r="A5" s="74" t="s">
        <v>2</v>
      </c>
      <c r="B5" s="75"/>
      <c r="C5" s="75"/>
      <c r="D5" s="75"/>
      <c r="E5" s="75"/>
      <c r="F5" s="75"/>
      <c r="G5" s="75"/>
      <c r="H5" s="75"/>
      <c r="I5" s="2"/>
    </row>
    <row r="6" spans="1:9" x14ac:dyDescent="0.25">
      <c r="A6" s="3"/>
      <c r="B6" s="3"/>
      <c r="C6" s="3"/>
      <c r="D6" s="3"/>
      <c r="E6" s="3"/>
      <c r="F6" s="3"/>
      <c r="G6" s="3"/>
      <c r="H6" s="3"/>
      <c r="I6" s="2"/>
    </row>
    <row r="7" spans="1:9" x14ac:dyDescent="0.25">
      <c r="A7" s="3" t="s">
        <v>3</v>
      </c>
      <c r="B7" s="3">
        <v>-50</v>
      </c>
      <c r="C7" s="3" t="s">
        <v>4</v>
      </c>
      <c r="D7" s="76" t="s">
        <v>5</v>
      </c>
      <c r="E7" s="75"/>
      <c r="F7" s="75"/>
      <c r="G7" s="75"/>
      <c r="H7" s="3"/>
      <c r="I7" s="2"/>
    </row>
    <row r="8" spans="1:9" x14ac:dyDescent="0.25">
      <c r="A8" s="3" t="s">
        <v>6</v>
      </c>
      <c r="B8" s="3">
        <f>3.5*4</f>
        <v>14</v>
      </c>
      <c r="C8" s="3" t="s">
        <v>4</v>
      </c>
      <c r="D8" s="76" t="s">
        <v>7</v>
      </c>
      <c r="E8" s="75"/>
      <c r="F8" s="75"/>
      <c r="G8" s="75"/>
      <c r="H8" s="3"/>
      <c r="I8" s="2"/>
    </row>
    <row r="9" spans="1:9" ht="15" customHeight="1" x14ac:dyDescent="0.25">
      <c r="A9" s="3" t="s">
        <v>8</v>
      </c>
      <c r="B9" s="3">
        <f>3.5*4*4/2</f>
        <v>28</v>
      </c>
      <c r="C9" s="3" t="s">
        <v>9</v>
      </c>
      <c r="D9" s="76" t="s">
        <v>10</v>
      </c>
      <c r="E9" s="75"/>
      <c r="F9" s="75"/>
      <c r="G9" s="75"/>
      <c r="H9" s="3"/>
      <c r="I9" s="2"/>
    </row>
    <row r="11" spans="1:9" x14ac:dyDescent="0.25">
      <c r="A11" s="4" t="s">
        <v>11</v>
      </c>
      <c r="F11" s="4"/>
    </row>
    <row r="21" spans="1:6" ht="15.75" customHeight="1" x14ac:dyDescent="0.25"/>
    <row r="22" spans="1:6" ht="15.75" customHeight="1" x14ac:dyDescent="0.25"/>
    <row r="23" spans="1:6" ht="15.75" customHeight="1" x14ac:dyDescent="0.25"/>
    <row r="24" spans="1:6" ht="15.75" customHeight="1" x14ac:dyDescent="0.25"/>
    <row r="25" spans="1:6" ht="15.75" customHeight="1" x14ac:dyDescent="0.25"/>
    <row r="26" spans="1:6" ht="15.75" customHeight="1" x14ac:dyDescent="0.25"/>
    <row r="27" spans="1:6" ht="15.75" customHeight="1" x14ac:dyDescent="0.25"/>
    <row r="28" spans="1:6" ht="15.75" customHeight="1" x14ac:dyDescent="0.25"/>
    <row r="29" spans="1:6" ht="15.75" customHeight="1" x14ac:dyDescent="0.25"/>
    <row r="30" spans="1:6" ht="15.75" customHeight="1" x14ac:dyDescent="0.25">
      <c r="A30" s="4" t="s">
        <v>12</v>
      </c>
    </row>
    <row r="31" spans="1:6" ht="15.75" customHeight="1" x14ac:dyDescent="0.35">
      <c r="A31" s="5" t="s">
        <v>13</v>
      </c>
      <c r="B31" s="5" t="s">
        <v>14</v>
      </c>
      <c r="C31" s="5" t="s">
        <v>15</v>
      </c>
      <c r="D31" s="5" t="s">
        <v>16</v>
      </c>
      <c r="E31" s="5" t="s">
        <v>17</v>
      </c>
      <c r="F31" s="5" t="s">
        <v>18</v>
      </c>
    </row>
    <row r="32" spans="1:6" ht="15.75" customHeight="1" x14ac:dyDescent="0.25">
      <c r="A32" s="6" t="s">
        <v>19</v>
      </c>
      <c r="B32" s="6" t="s">
        <v>20</v>
      </c>
      <c r="C32" s="6" t="s">
        <v>20</v>
      </c>
      <c r="D32" s="6" t="s">
        <v>21</v>
      </c>
      <c r="E32" s="6" t="s">
        <v>20</v>
      </c>
      <c r="F32" s="6" t="s">
        <v>20</v>
      </c>
    </row>
    <row r="33" spans="1:6" ht="15.75" customHeight="1" x14ac:dyDescent="0.25">
      <c r="A33" s="7">
        <v>1</v>
      </c>
      <c r="B33" s="7">
        <v>180</v>
      </c>
      <c r="C33" s="7">
        <v>15</v>
      </c>
      <c r="D33" s="7">
        <f t="shared" ref="D33:D35" si="0">B33*C33</f>
        <v>2700</v>
      </c>
      <c r="E33" s="7">
        <v>90</v>
      </c>
      <c r="F33" s="7">
        <v>-150</v>
      </c>
    </row>
    <row r="34" spans="1:6" ht="15.75" customHeight="1" x14ac:dyDescent="0.25">
      <c r="A34" s="8">
        <v>2</v>
      </c>
      <c r="B34" s="8">
        <v>12</v>
      </c>
      <c r="C34" s="8">
        <v>300</v>
      </c>
      <c r="D34" s="8">
        <f t="shared" si="0"/>
        <v>3600</v>
      </c>
      <c r="E34" s="7">
        <v>180</v>
      </c>
      <c r="F34" s="8">
        <v>0</v>
      </c>
    </row>
    <row r="35" spans="1:6" ht="15.75" customHeight="1" x14ac:dyDescent="0.25">
      <c r="A35" s="8">
        <v>3</v>
      </c>
      <c r="B35" s="8">
        <v>180</v>
      </c>
      <c r="C35" s="8">
        <v>15</v>
      </c>
      <c r="D35" s="8">
        <f t="shared" si="0"/>
        <v>2700</v>
      </c>
      <c r="E35" s="7">
        <v>90</v>
      </c>
      <c r="F35" s="8">
        <v>150</v>
      </c>
    </row>
    <row r="36" spans="1:6" ht="15.75" customHeight="1" x14ac:dyDescent="0.25"/>
    <row r="37" spans="1:6" ht="15.75" customHeight="1" x14ac:dyDescent="0.25">
      <c r="A37" s="4" t="s">
        <v>22</v>
      </c>
    </row>
    <row r="38" spans="1:6" ht="15.75" customHeight="1" x14ac:dyDescent="0.25">
      <c r="A38" s="9" t="s">
        <v>23</v>
      </c>
      <c r="B38" s="9">
        <f>SUM(D33:D35)</f>
        <v>9000</v>
      </c>
      <c r="C38" s="9" t="s">
        <v>24</v>
      </c>
    </row>
    <row r="39" spans="1:6" ht="15.75" customHeight="1" x14ac:dyDescent="0.25"/>
    <row r="40" spans="1:6" ht="15.75" customHeight="1" x14ac:dyDescent="0.25">
      <c r="A40" s="4" t="s">
        <v>25</v>
      </c>
    </row>
    <row r="41" spans="1:6" ht="15.75" customHeight="1" x14ac:dyDescent="0.25">
      <c r="A41" s="9" t="s">
        <v>26</v>
      </c>
      <c r="B41" s="9">
        <f>D33*F33+D34*F34+D35*F35</f>
        <v>0</v>
      </c>
      <c r="C41" s="9" t="s">
        <v>27</v>
      </c>
    </row>
    <row r="42" spans="1:6" ht="15.75" customHeight="1" x14ac:dyDescent="0.25">
      <c r="A42" s="9" t="s">
        <v>28</v>
      </c>
      <c r="B42" s="9">
        <f>D33*E33+D34*E34+D35*E35</f>
        <v>1134000</v>
      </c>
      <c r="C42" s="9" t="s">
        <v>29</v>
      </c>
    </row>
    <row r="43" spans="1:6" ht="15.75" customHeight="1" x14ac:dyDescent="0.25"/>
    <row r="44" spans="1:6" ht="15.75" customHeight="1" x14ac:dyDescent="0.25">
      <c r="A44" s="4" t="s">
        <v>30</v>
      </c>
    </row>
    <row r="45" spans="1:6" ht="15.75" customHeight="1" x14ac:dyDescent="0.25">
      <c r="A45" s="9" t="s">
        <v>31</v>
      </c>
      <c r="B45" s="10">
        <f>B42/B38</f>
        <v>126</v>
      </c>
      <c r="C45" s="9" t="s">
        <v>32</v>
      </c>
    </row>
    <row r="46" spans="1:6" ht="15.75" customHeight="1" x14ac:dyDescent="0.25">
      <c r="A46" s="9" t="s">
        <v>33</v>
      </c>
      <c r="B46" s="10">
        <f>B41/B38</f>
        <v>0</v>
      </c>
      <c r="C46" s="9" t="s">
        <v>32</v>
      </c>
    </row>
    <row r="47" spans="1:6" ht="15.75" customHeight="1" x14ac:dyDescent="0.25"/>
    <row r="48" spans="1:6" ht="15.75" customHeight="1" x14ac:dyDescent="0.25">
      <c r="A48" s="4" t="s">
        <v>34</v>
      </c>
    </row>
    <row r="49" spans="1:9" ht="15.75" customHeight="1" x14ac:dyDescent="0.25">
      <c r="A49" s="4"/>
    </row>
    <row r="50" spans="1:9" ht="15.75" customHeight="1" x14ac:dyDescent="0.25">
      <c r="A50" s="4"/>
    </row>
    <row r="51" spans="1:9" ht="15.75" customHeight="1" x14ac:dyDescent="0.25">
      <c r="A51" s="4"/>
    </row>
    <row r="52" spans="1:9" ht="15.75" customHeight="1" x14ac:dyDescent="0.25">
      <c r="A52" s="4"/>
    </row>
    <row r="53" spans="1:9" ht="15.75" customHeight="1" x14ac:dyDescent="0.25">
      <c r="A53" s="4"/>
    </row>
    <row r="54" spans="1:9" ht="15.75" customHeight="1" x14ac:dyDescent="0.35">
      <c r="A54" s="5" t="s">
        <v>13</v>
      </c>
      <c r="B54" s="5" t="s">
        <v>35</v>
      </c>
      <c r="C54" s="5" t="s">
        <v>36</v>
      </c>
      <c r="D54" s="5" t="s">
        <v>37</v>
      </c>
      <c r="E54" s="5" t="s">
        <v>38</v>
      </c>
      <c r="F54" s="11" t="s">
        <v>39</v>
      </c>
      <c r="G54" s="12" t="s">
        <v>40</v>
      </c>
      <c r="H54" s="13" t="s">
        <v>41</v>
      </c>
      <c r="I54" s="14" t="s">
        <v>42</v>
      </c>
    </row>
    <row r="55" spans="1:9" ht="15.75" customHeight="1" x14ac:dyDescent="0.25">
      <c r="A55" s="6" t="s">
        <v>19</v>
      </c>
      <c r="B55" s="6" t="s">
        <v>20</v>
      </c>
      <c r="C55" s="6" t="s">
        <v>20</v>
      </c>
      <c r="D55" s="6" t="s">
        <v>43</v>
      </c>
      <c r="E55" s="6" t="s">
        <v>20</v>
      </c>
      <c r="F55" s="15" t="s">
        <v>20</v>
      </c>
      <c r="G55" s="16" t="s">
        <v>44</v>
      </c>
      <c r="H55" s="6" t="s">
        <v>45</v>
      </c>
      <c r="I55" s="17" t="s">
        <v>46</v>
      </c>
    </row>
    <row r="56" spans="1:9" ht="15.75" customHeight="1" x14ac:dyDescent="0.25">
      <c r="A56" s="7">
        <v>1</v>
      </c>
      <c r="B56" s="7">
        <v>180</v>
      </c>
      <c r="C56" s="7">
        <v>15</v>
      </c>
      <c r="D56" s="7">
        <f t="shared" ref="D56:D58" si="1">B56*C56</f>
        <v>2700</v>
      </c>
      <c r="E56" s="7">
        <v>90</v>
      </c>
      <c r="F56" s="7">
        <v>-150</v>
      </c>
      <c r="G56" s="18">
        <f t="shared" ref="G56:G58" si="2">1/12*B56*C56^3+D56*(F56-$B$46)^2</f>
        <v>60800625</v>
      </c>
      <c r="H56" s="19">
        <f t="shared" ref="H56:H58" si="3">1/12*C56*B56^3+D56*(E56-$B$45)^2</f>
        <v>10789200</v>
      </c>
      <c r="I56" s="20">
        <f t="shared" ref="I56:I58" si="4">D56*(E56-$B$45)*(F56-$B$46)</f>
        <v>14580000</v>
      </c>
    </row>
    <row r="57" spans="1:9" ht="15.75" customHeight="1" x14ac:dyDescent="0.25">
      <c r="A57" s="8">
        <v>2</v>
      </c>
      <c r="B57" s="8">
        <v>12</v>
      </c>
      <c r="C57" s="8">
        <v>300</v>
      </c>
      <c r="D57" s="8">
        <f t="shared" si="1"/>
        <v>3600</v>
      </c>
      <c r="E57" s="7">
        <v>180</v>
      </c>
      <c r="F57" s="8">
        <v>0</v>
      </c>
      <c r="G57" s="18">
        <f t="shared" si="2"/>
        <v>27000000</v>
      </c>
      <c r="H57" s="19">
        <f t="shared" si="3"/>
        <v>10540800</v>
      </c>
      <c r="I57" s="20">
        <f t="shared" si="4"/>
        <v>0</v>
      </c>
    </row>
    <row r="58" spans="1:9" ht="15.75" customHeight="1" x14ac:dyDescent="0.25">
      <c r="A58" s="8">
        <v>3</v>
      </c>
      <c r="B58" s="8">
        <v>180</v>
      </c>
      <c r="C58" s="8">
        <v>15</v>
      </c>
      <c r="D58" s="8">
        <f t="shared" si="1"/>
        <v>2700</v>
      </c>
      <c r="E58" s="7">
        <v>90</v>
      </c>
      <c r="F58" s="8">
        <v>150</v>
      </c>
      <c r="G58" s="21">
        <f t="shared" si="2"/>
        <v>60800625</v>
      </c>
      <c r="H58" s="22">
        <f t="shared" si="3"/>
        <v>10789200</v>
      </c>
      <c r="I58" s="23">
        <f t="shared" si="4"/>
        <v>-14580000</v>
      </c>
    </row>
    <row r="59" spans="1:9" ht="15.75" customHeight="1" x14ac:dyDescent="0.25"/>
    <row r="60" spans="1:9" ht="15.75" customHeight="1" x14ac:dyDescent="0.35">
      <c r="A60" s="9" t="s">
        <v>47</v>
      </c>
      <c r="B60" s="24">
        <f>SUM(G56:G58)</f>
        <v>148601250</v>
      </c>
      <c r="C60" s="9" t="s">
        <v>48</v>
      </c>
    </row>
    <row r="61" spans="1:9" ht="15.75" customHeight="1" x14ac:dyDescent="0.35">
      <c r="A61" s="9" t="s">
        <v>49</v>
      </c>
      <c r="B61" s="24">
        <f>SUM(H56:H58)</f>
        <v>32119200</v>
      </c>
      <c r="C61" s="9" t="s">
        <v>50</v>
      </c>
    </row>
    <row r="62" spans="1:9" ht="15.75" customHeight="1" x14ac:dyDescent="0.25"/>
    <row r="63" spans="1:9" ht="15.75" customHeight="1" x14ac:dyDescent="0.25">
      <c r="A63" s="25" t="s">
        <v>51</v>
      </c>
    </row>
    <row r="64" spans="1:9" ht="15.75" customHeight="1" x14ac:dyDescent="0.25">
      <c r="A64" s="4"/>
    </row>
    <row r="65" spans="1:7" ht="15.75" customHeight="1" x14ac:dyDescent="0.25">
      <c r="A65" s="9" t="s">
        <v>52</v>
      </c>
      <c r="B65" s="9">
        <f>-B9*1000*1000</f>
        <v>-28000000</v>
      </c>
      <c r="C65" s="9" t="s">
        <v>53</v>
      </c>
    </row>
    <row r="66" spans="1:7" ht="15.75" customHeight="1" x14ac:dyDescent="0.25">
      <c r="A66" s="9" t="s">
        <v>54</v>
      </c>
      <c r="B66" s="26">
        <f>B7*10^3</f>
        <v>-50000</v>
      </c>
      <c r="C66" s="9" t="s">
        <v>54</v>
      </c>
      <c r="G66" s="27"/>
    </row>
    <row r="67" spans="1:7" ht="15.75" customHeight="1" x14ac:dyDescent="0.25">
      <c r="A67" s="4"/>
    </row>
    <row r="68" spans="1:7" ht="15.75" customHeight="1" x14ac:dyDescent="0.25"/>
    <row r="69" spans="1:7" ht="15.75" customHeight="1" x14ac:dyDescent="0.25">
      <c r="A69" s="4"/>
    </row>
    <row r="70" spans="1:7" ht="15.75" customHeight="1" x14ac:dyDescent="0.25">
      <c r="A70" s="28" t="s">
        <v>55</v>
      </c>
      <c r="B70" s="29" t="s">
        <v>56</v>
      </c>
      <c r="C70" s="28" t="s">
        <v>57</v>
      </c>
      <c r="D70" s="28" t="s">
        <v>58</v>
      </c>
    </row>
    <row r="71" spans="1:7" ht="15.75" customHeight="1" x14ac:dyDescent="0.25">
      <c r="A71" s="28" t="s">
        <v>59</v>
      </c>
      <c r="B71" s="30" t="s">
        <v>60</v>
      </c>
      <c r="C71" s="7">
        <v>-150</v>
      </c>
      <c r="D71" s="31">
        <f t="shared" ref="D71:D73" si="5">$B$66/$B$38+$B$65/$B$60*C71</f>
        <v>22.708002119766824</v>
      </c>
    </row>
    <row r="72" spans="1:7" ht="15.75" customHeight="1" x14ac:dyDescent="0.25">
      <c r="A72" s="28" t="s">
        <v>61</v>
      </c>
      <c r="B72" s="30" t="s">
        <v>60</v>
      </c>
      <c r="C72" s="7">
        <v>0</v>
      </c>
      <c r="D72" s="31">
        <f t="shared" si="5"/>
        <v>-5.5555555555555554</v>
      </c>
    </row>
    <row r="73" spans="1:7" ht="15.75" customHeight="1" x14ac:dyDescent="0.25">
      <c r="A73" s="28" t="s">
        <v>62</v>
      </c>
      <c r="B73" s="30" t="s">
        <v>60</v>
      </c>
      <c r="C73" s="8">
        <v>150</v>
      </c>
      <c r="D73" s="31">
        <f t="shared" si="5"/>
        <v>-33.819113230877939</v>
      </c>
    </row>
    <row r="74" spans="1:7" ht="15.75" customHeight="1" x14ac:dyDescent="0.25">
      <c r="B74" s="24"/>
    </row>
    <row r="75" spans="1:7" ht="15.75" customHeight="1" x14ac:dyDescent="0.25">
      <c r="B75" s="24"/>
    </row>
    <row r="76" spans="1:7" ht="15.75" customHeight="1" x14ac:dyDescent="0.25"/>
    <row r="77" spans="1:7" ht="15.75" customHeight="1" x14ac:dyDescent="0.25">
      <c r="A77" s="25" t="s">
        <v>63</v>
      </c>
    </row>
    <row r="78" spans="1:7" ht="15.75" customHeight="1" x14ac:dyDescent="0.25">
      <c r="A78" s="4"/>
    </row>
    <row r="79" spans="1:7" ht="15.75" customHeight="1" x14ac:dyDescent="0.25">
      <c r="A79" s="9" t="s">
        <v>64</v>
      </c>
      <c r="B79" s="9">
        <f>B8*10^3</f>
        <v>14000</v>
      </c>
      <c r="C79" s="9" t="s">
        <v>54</v>
      </c>
    </row>
    <row r="80" spans="1:7" ht="15.75" customHeight="1" x14ac:dyDescent="0.25">
      <c r="A80" s="4"/>
    </row>
    <row r="81" spans="1:3" ht="15.75" customHeight="1" x14ac:dyDescent="0.25">
      <c r="A81" s="9" t="s">
        <v>65</v>
      </c>
      <c r="B81" s="32"/>
    </row>
    <row r="82" spans="1:3" ht="15.75" customHeight="1" x14ac:dyDescent="0.25">
      <c r="A82" s="9" t="s">
        <v>66</v>
      </c>
      <c r="B82" s="26">
        <v>15</v>
      </c>
      <c r="C82" s="9" t="s">
        <v>32</v>
      </c>
    </row>
    <row r="83" spans="1:3" ht="15.75" customHeight="1" x14ac:dyDescent="0.25">
      <c r="B83" s="26"/>
    </row>
    <row r="84" spans="1:3" ht="15.75" customHeight="1" x14ac:dyDescent="0.25">
      <c r="A84" s="28" t="s">
        <v>67</v>
      </c>
      <c r="B84" s="33" t="s">
        <v>68</v>
      </c>
      <c r="C84" s="33" t="s">
        <v>69</v>
      </c>
    </row>
    <row r="85" spans="1:3" ht="15.75" customHeight="1" x14ac:dyDescent="0.25">
      <c r="A85" s="8">
        <v>0</v>
      </c>
      <c r="B85" s="29">
        <f t="shared" ref="B85:B86" si="6">$B$82*A85*(-150)</f>
        <v>0</v>
      </c>
      <c r="C85" s="31">
        <v>0</v>
      </c>
    </row>
    <row r="86" spans="1:3" ht="15.75" customHeight="1" x14ac:dyDescent="0.25">
      <c r="A86" s="8">
        <v>180</v>
      </c>
      <c r="B86" s="29">
        <f t="shared" si="6"/>
        <v>-405000</v>
      </c>
      <c r="C86" s="31">
        <f>$B$79*B86/($B$82*$B$60)</f>
        <v>-2.5437201907790143</v>
      </c>
    </row>
    <row r="87" spans="1:3" ht="15.75" customHeight="1" x14ac:dyDescent="0.25">
      <c r="A87" s="4"/>
    </row>
    <row r="88" spans="1:3" ht="15.75" customHeight="1" x14ac:dyDescent="0.25">
      <c r="A88" s="9" t="s">
        <v>70</v>
      </c>
      <c r="B88" s="32"/>
    </row>
    <row r="89" spans="1:3" ht="15.75" customHeight="1" x14ac:dyDescent="0.25">
      <c r="A89" s="9" t="s">
        <v>66</v>
      </c>
      <c r="B89" s="26">
        <v>12</v>
      </c>
      <c r="C89" s="9" t="s">
        <v>32</v>
      </c>
    </row>
    <row r="90" spans="1:3" ht="15.75" customHeight="1" x14ac:dyDescent="0.25">
      <c r="B90" s="26"/>
    </row>
    <row r="91" spans="1:3" ht="15.75" customHeight="1" x14ac:dyDescent="0.25">
      <c r="A91" s="28" t="s">
        <v>71</v>
      </c>
      <c r="B91" s="33" t="s">
        <v>68</v>
      </c>
      <c r="C91" s="33" t="s">
        <v>69</v>
      </c>
    </row>
    <row r="92" spans="1:3" ht="15.75" customHeight="1" x14ac:dyDescent="0.25">
      <c r="A92" s="8">
        <v>0</v>
      </c>
      <c r="B92" s="29">
        <f t="shared" ref="B92:B94" si="7">$B$86+A92*$B$89*(-150+A92/2)</f>
        <v>-405000</v>
      </c>
      <c r="C92" s="31">
        <f t="shared" ref="C92:C94" si="8">$B$79*B92/($B$89*$B$60)</f>
        <v>-3.1796502384737679</v>
      </c>
    </row>
    <row r="93" spans="1:3" ht="15.75" customHeight="1" x14ac:dyDescent="0.25">
      <c r="A93" s="34">
        <v>150</v>
      </c>
      <c r="B93" s="29">
        <f t="shared" si="7"/>
        <v>-540000</v>
      </c>
      <c r="C93" s="31">
        <f t="shared" si="8"/>
        <v>-4.2395336512983572</v>
      </c>
    </row>
    <row r="94" spans="1:3" ht="15.75" customHeight="1" x14ac:dyDescent="0.25">
      <c r="A94" s="8">
        <v>300</v>
      </c>
      <c r="B94" s="29">
        <f t="shared" si="7"/>
        <v>-405000</v>
      </c>
      <c r="C94" s="31">
        <f t="shared" si="8"/>
        <v>-3.1796502384737679</v>
      </c>
    </row>
    <row r="95" spans="1:3" ht="15.75" customHeight="1" x14ac:dyDescent="0.25"/>
    <row r="96" spans="1:3" ht="15.75" customHeight="1" x14ac:dyDescent="0.25"/>
    <row r="97" spans="1:5" ht="15.75" customHeight="1" x14ac:dyDescent="0.25">
      <c r="A97" s="25" t="s">
        <v>72</v>
      </c>
    </row>
    <row r="98" spans="1:5" ht="15.75" customHeight="1" x14ac:dyDescent="0.25"/>
    <row r="99" spans="1:5" ht="15.75" customHeight="1" x14ac:dyDescent="0.25">
      <c r="A99" s="4" t="s">
        <v>73</v>
      </c>
    </row>
    <row r="100" spans="1:5" ht="15.75" customHeight="1" x14ac:dyDescent="0.25"/>
    <row r="101" spans="1:5" ht="15.75" customHeight="1" x14ac:dyDescent="0.25">
      <c r="A101" s="9" t="s">
        <v>74</v>
      </c>
      <c r="B101" s="26">
        <f>ABS(C86*B82*A86/2)</f>
        <v>3434.0222575516696</v>
      </c>
      <c r="C101" s="9" t="s">
        <v>54</v>
      </c>
    </row>
    <row r="102" spans="1:5" ht="15.75" customHeight="1" x14ac:dyDescent="0.25">
      <c r="A102" s="9" t="s">
        <v>75</v>
      </c>
      <c r="B102" s="24">
        <f>B79*(-180*15*150*300-150*12*300^2/2+12*300^3/6)/B60</f>
        <v>-13990.461049284579</v>
      </c>
      <c r="C102" s="9" t="s">
        <v>54</v>
      </c>
    </row>
    <row r="103" spans="1:5" ht="15.75" customHeight="1" x14ac:dyDescent="0.25"/>
    <row r="104" spans="1:5" ht="15.75" customHeight="1" x14ac:dyDescent="0.25">
      <c r="A104" s="9" t="s">
        <v>76</v>
      </c>
      <c r="B104" s="26">
        <f>B101*300/B79</f>
        <v>73.586191233250062</v>
      </c>
      <c r="C104" s="9" t="s">
        <v>32</v>
      </c>
    </row>
    <row r="105" spans="1:5" ht="15.75" customHeight="1" x14ac:dyDescent="0.25">
      <c r="A105" s="9" t="s">
        <v>77</v>
      </c>
      <c r="B105" s="26">
        <f>B104+90</f>
        <v>163.58619123325008</v>
      </c>
      <c r="C105" s="9" t="s">
        <v>32</v>
      </c>
    </row>
    <row r="106" spans="1:5" ht="15.75" customHeight="1" x14ac:dyDescent="0.25"/>
    <row r="107" spans="1:5" ht="15.75" customHeight="1" x14ac:dyDescent="0.25">
      <c r="A107" s="9" t="s">
        <v>78</v>
      </c>
      <c r="B107" s="24">
        <f>B105*B79</f>
        <v>2290206.6772655011</v>
      </c>
      <c r="C107" s="9" t="s">
        <v>53</v>
      </c>
    </row>
    <row r="108" spans="1:5" ht="15.75" customHeight="1" x14ac:dyDescent="0.25">
      <c r="B108" s="24"/>
    </row>
    <row r="109" spans="1:5" ht="15.75" customHeight="1" x14ac:dyDescent="0.25"/>
    <row r="110" spans="1:5" ht="15.75" customHeight="1" x14ac:dyDescent="0.35">
      <c r="A110" s="5" t="s">
        <v>79</v>
      </c>
      <c r="B110" s="5" t="s">
        <v>80</v>
      </c>
      <c r="C110" s="5" t="s">
        <v>81</v>
      </c>
      <c r="D110" s="5" t="s">
        <v>82</v>
      </c>
      <c r="E110" s="5" t="s">
        <v>83</v>
      </c>
    </row>
    <row r="111" spans="1:5" ht="15.75" customHeight="1" x14ac:dyDescent="0.25">
      <c r="A111" s="6" t="s">
        <v>19</v>
      </c>
      <c r="B111" s="6" t="s">
        <v>20</v>
      </c>
      <c r="C111" s="6" t="s">
        <v>20</v>
      </c>
      <c r="D111" s="6" t="s">
        <v>84</v>
      </c>
      <c r="E111" s="6" t="s">
        <v>85</v>
      </c>
    </row>
    <row r="112" spans="1:5" ht="15.75" customHeight="1" x14ac:dyDescent="0.25">
      <c r="A112" s="7">
        <v>1</v>
      </c>
      <c r="B112" s="7">
        <v>180</v>
      </c>
      <c r="C112" s="7">
        <v>15</v>
      </c>
      <c r="D112" s="7">
        <f t="shared" ref="D112:D114" si="9">B112*C112</f>
        <v>2700</v>
      </c>
      <c r="E112" s="35">
        <f t="shared" ref="E112:E114" si="10">1/3*B112*C112^3</f>
        <v>202500</v>
      </c>
    </row>
    <row r="113" spans="1:5" ht="15.75" customHeight="1" x14ac:dyDescent="0.25">
      <c r="A113" s="8">
        <v>2</v>
      </c>
      <c r="B113" s="8">
        <v>300</v>
      </c>
      <c r="C113" s="8">
        <v>12</v>
      </c>
      <c r="D113" s="7">
        <f t="shared" si="9"/>
        <v>3600</v>
      </c>
      <c r="E113" s="35">
        <f t="shared" si="10"/>
        <v>172800</v>
      </c>
    </row>
    <row r="114" spans="1:5" ht="15.75" customHeight="1" x14ac:dyDescent="0.25">
      <c r="A114" s="8">
        <v>3</v>
      </c>
      <c r="B114" s="8">
        <v>180</v>
      </c>
      <c r="C114" s="8">
        <v>15</v>
      </c>
      <c r="D114" s="7">
        <f t="shared" si="9"/>
        <v>2700</v>
      </c>
      <c r="E114" s="35">
        <f t="shared" si="10"/>
        <v>202500</v>
      </c>
    </row>
    <row r="115" spans="1:5" ht="15.75" customHeight="1" x14ac:dyDescent="0.25"/>
    <row r="116" spans="1:5" ht="15.75" customHeight="1" x14ac:dyDescent="0.25">
      <c r="A116" s="9" t="s">
        <v>86</v>
      </c>
      <c r="B116" s="26">
        <f>SUM(E112:E114)</f>
        <v>577800</v>
      </c>
      <c r="C116" s="9" t="s">
        <v>87</v>
      </c>
    </row>
    <row r="117" spans="1:5" ht="15.75" customHeight="1" x14ac:dyDescent="0.25"/>
    <row r="118" spans="1:5" ht="15.75" customHeight="1" x14ac:dyDescent="0.25">
      <c r="A118" s="4" t="s">
        <v>88</v>
      </c>
    </row>
    <row r="119" spans="1:5" ht="15.75" customHeight="1" x14ac:dyDescent="0.25"/>
    <row r="120" spans="1:5" ht="15.75" customHeight="1" x14ac:dyDescent="0.35">
      <c r="A120" s="5" t="s">
        <v>79</v>
      </c>
      <c r="B120" s="5" t="s">
        <v>89</v>
      </c>
      <c r="C120" s="5" t="s">
        <v>90</v>
      </c>
      <c r="D120" s="5" t="s">
        <v>91</v>
      </c>
    </row>
    <row r="121" spans="1:5" ht="15.75" customHeight="1" x14ac:dyDescent="0.25">
      <c r="A121" s="6" t="s">
        <v>19</v>
      </c>
      <c r="B121" s="6" t="s">
        <v>20</v>
      </c>
      <c r="C121" s="6" t="s">
        <v>20</v>
      </c>
      <c r="D121" s="6" t="s">
        <v>92</v>
      </c>
    </row>
    <row r="122" spans="1:5" ht="15.75" customHeight="1" x14ac:dyDescent="0.25">
      <c r="A122" s="7">
        <v>1</v>
      </c>
      <c r="B122" s="7">
        <v>180</v>
      </c>
      <c r="C122" s="7">
        <v>15</v>
      </c>
      <c r="D122" s="35">
        <f t="shared" ref="D122:D124" si="11">$B$107/$B$116*C122</f>
        <v>59.455002005854126</v>
      </c>
    </row>
    <row r="123" spans="1:5" ht="15.75" customHeight="1" x14ac:dyDescent="0.25">
      <c r="A123" s="8">
        <v>2</v>
      </c>
      <c r="B123" s="8">
        <v>300</v>
      </c>
      <c r="C123" s="8">
        <v>12</v>
      </c>
      <c r="D123" s="35">
        <f t="shared" si="11"/>
        <v>47.564001604683305</v>
      </c>
    </row>
    <row r="124" spans="1:5" ht="15.75" customHeight="1" x14ac:dyDescent="0.25">
      <c r="A124" s="8">
        <v>3</v>
      </c>
      <c r="B124" s="8">
        <v>180</v>
      </c>
      <c r="C124" s="8">
        <v>15</v>
      </c>
      <c r="D124" s="35">
        <f t="shared" si="11"/>
        <v>59.455002005854126</v>
      </c>
    </row>
    <row r="125" spans="1:5" ht="15.75" customHeight="1" x14ac:dyDescent="0.25"/>
    <row r="126" spans="1:5" ht="15.75" customHeight="1" x14ac:dyDescent="0.25"/>
    <row r="127" spans="1:5" ht="15.75" customHeight="1" x14ac:dyDescent="0.25">
      <c r="A127" s="25" t="s">
        <v>93</v>
      </c>
    </row>
    <row r="128" spans="1:5" ht="15.75" customHeight="1" x14ac:dyDescent="0.25"/>
    <row r="129" spans="1:4" ht="15.75" customHeight="1" x14ac:dyDescent="0.25">
      <c r="A129" s="4" t="s">
        <v>94</v>
      </c>
    </row>
    <row r="130" spans="1:4" ht="15.75" customHeight="1" x14ac:dyDescent="0.25">
      <c r="A130" s="9" t="s">
        <v>95</v>
      </c>
      <c r="B130" s="10">
        <f>D72</f>
        <v>-5.5555555555555554</v>
      </c>
      <c r="C130" s="9" t="s">
        <v>96</v>
      </c>
    </row>
    <row r="131" spans="1:4" ht="15.75" customHeight="1" x14ac:dyDescent="0.25">
      <c r="A131" s="9" t="s">
        <v>97</v>
      </c>
      <c r="B131" s="10">
        <f>D123+C93</f>
        <v>43.324467953384946</v>
      </c>
      <c r="C131" s="9" t="s">
        <v>96</v>
      </c>
      <c r="D131" s="9" t="s">
        <v>98</v>
      </c>
    </row>
    <row r="132" spans="1:4" ht="15.75" customHeight="1" x14ac:dyDescent="0.25"/>
    <row r="133" spans="1:4" ht="15.75" customHeight="1" x14ac:dyDescent="0.25">
      <c r="A133" s="9" t="s">
        <v>99</v>
      </c>
    </row>
    <row r="134" spans="1:4" ht="15.75" customHeight="1" x14ac:dyDescent="0.25">
      <c r="A134" s="9" t="s">
        <v>100</v>
      </c>
      <c r="B134" s="10">
        <f>B130</f>
        <v>-5.5555555555555554</v>
      </c>
      <c r="C134" s="9" t="s">
        <v>96</v>
      </c>
    </row>
    <row r="135" spans="1:4" ht="15.75" customHeight="1" x14ac:dyDescent="0.25">
      <c r="A135" s="9" t="s">
        <v>101</v>
      </c>
      <c r="B135" s="9">
        <v>0</v>
      </c>
      <c r="C135" s="9" t="s">
        <v>96</v>
      </c>
    </row>
    <row r="136" spans="1:4" ht="15.75" customHeight="1" x14ac:dyDescent="0.25">
      <c r="A136" s="9" t="s">
        <v>102</v>
      </c>
      <c r="B136" s="10">
        <f>B131</f>
        <v>43.324467953384946</v>
      </c>
      <c r="C136" s="9" t="s">
        <v>96</v>
      </c>
    </row>
    <row r="137" spans="1:4" ht="15.75" customHeight="1" x14ac:dyDescent="0.25"/>
    <row r="138" spans="1:4" ht="15.75" customHeight="1" x14ac:dyDescent="0.25"/>
    <row r="139" spans="1:4" ht="15.75" customHeight="1" x14ac:dyDescent="0.25"/>
    <row r="140" spans="1:4" ht="15.75" customHeight="1" x14ac:dyDescent="0.25"/>
    <row r="141" spans="1:4" ht="15.75" customHeight="1" x14ac:dyDescent="0.25">
      <c r="A141" s="9" t="s">
        <v>103</v>
      </c>
    </row>
    <row r="142" spans="1:4" ht="15.75" customHeight="1" x14ac:dyDescent="0.25">
      <c r="A142" s="28" t="s">
        <v>55</v>
      </c>
      <c r="B142" s="28" t="s">
        <v>95</v>
      </c>
      <c r="C142" s="28" t="s">
        <v>97</v>
      </c>
    </row>
    <row r="143" spans="1:4" ht="15.75" customHeight="1" x14ac:dyDescent="0.25">
      <c r="A143" s="28" t="s">
        <v>23</v>
      </c>
      <c r="B143" s="31">
        <f>B134</f>
        <v>-5.5555555555555554</v>
      </c>
      <c r="C143" s="31">
        <f>-B136</f>
        <v>-43.324467953384946</v>
      </c>
    </row>
    <row r="144" spans="1:4" ht="15.75" customHeight="1" x14ac:dyDescent="0.25">
      <c r="A144" s="28" t="s">
        <v>104</v>
      </c>
      <c r="B144" s="31">
        <v>0</v>
      </c>
      <c r="C144" s="31">
        <f>B136</f>
        <v>43.324467953384946</v>
      </c>
    </row>
    <row r="145" spans="1:3" ht="15.75" customHeight="1" x14ac:dyDescent="0.25"/>
    <row r="146" spans="1:3" ht="15.75" customHeight="1" x14ac:dyDescent="0.25"/>
    <row r="147" spans="1:3" ht="15.75" customHeight="1" x14ac:dyDescent="0.25">
      <c r="A147" s="9" t="s">
        <v>105</v>
      </c>
      <c r="B147" s="10">
        <f>B143/2</f>
        <v>-2.7777777777777777</v>
      </c>
      <c r="C147" s="9" t="s">
        <v>96</v>
      </c>
    </row>
    <row r="148" spans="1:3" ht="15.75" customHeight="1" x14ac:dyDescent="0.25">
      <c r="A148" s="9" t="s">
        <v>106</v>
      </c>
      <c r="B148" s="10">
        <f>(B143^2/4+C143^2)^0.5</f>
        <v>43.413426181615698</v>
      </c>
      <c r="C148" s="9" t="s">
        <v>96</v>
      </c>
    </row>
    <row r="149" spans="1:3" ht="15.75" customHeight="1" x14ac:dyDescent="0.25"/>
    <row r="150" spans="1:3" ht="15.75" customHeight="1" x14ac:dyDescent="0.25">
      <c r="A150" s="9" t="s">
        <v>107</v>
      </c>
      <c r="B150" s="10">
        <f>B147+B148</f>
        <v>40.635648403837919</v>
      </c>
      <c r="C150" s="9" t="s">
        <v>96</v>
      </c>
    </row>
    <row r="151" spans="1:3" ht="15.75" customHeight="1" x14ac:dyDescent="0.25">
      <c r="A151" s="9" t="s">
        <v>108</v>
      </c>
      <c r="B151" s="10">
        <f>B147-B148</f>
        <v>-46.191203959393476</v>
      </c>
      <c r="C151" s="9" t="s">
        <v>96</v>
      </c>
    </row>
    <row r="152" spans="1:3" ht="15.75" customHeight="1" x14ac:dyDescent="0.25"/>
    <row r="153" spans="1:3" ht="15.75" customHeight="1" x14ac:dyDescent="0.25"/>
    <row r="154" spans="1:3" ht="15.75" customHeight="1" x14ac:dyDescent="0.25">
      <c r="A154" s="9" t="s">
        <v>109</v>
      </c>
      <c r="B154" s="9">
        <f>0.5*ATAN(2*B136/B134)</f>
        <v>-0.75338414275007404</v>
      </c>
      <c r="C154" s="9" t="s">
        <v>110</v>
      </c>
    </row>
    <row r="155" spans="1:3" ht="15.75" customHeight="1" x14ac:dyDescent="0.25">
      <c r="B155" s="9">
        <f>B154*180/3.1415</f>
        <v>-43.167004836865608</v>
      </c>
      <c r="C155" s="9" t="s">
        <v>111</v>
      </c>
    </row>
    <row r="156" spans="1:3" ht="15.75" customHeight="1" x14ac:dyDescent="0.25"/>
    <row r="157" spans="1:3" ht="15.75" customHeight="1" x14ac:dyDescent="0.25"/>
    <row r="158" spans="1:3" ht="15.75" customHeight="1" x14ac:dyDescent="0.25"/>
    <row r="159" spans="1:3" ht="15.75" customHeight="1" x14ac:dyDescent="0.25"/>
    <row r="160" spans="1:3" ht="15.75" customHeight="1" x14ac:dyDescent="0.25">
      <c r="A160" s="9" t="s">
        <v>112</v>
      </c>
    </row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3:H4"/>
    <mergeCell ref="A5:H5"/>
    <mergeCell ref="D7:G7"/>
    <mergeCell ref="D8:G8"/>
    <mergeCell ref="D9:G9"/>
  </mergeCells>
  <pageMargins left="0.25" right="0.25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D86F-7B0A-4936-BC43-3C57C155D8CE}">
  <dimension ref="A1:I153"/>
  <sheetViews>
    <sheetView zoomScale="85" zoomScaleNormal="85" workbookViewId="0">
      <selection activeCell="G153" sqref="G153"/>
    </sheetView>
  </sheetViews>
  <sheetFormatPr defaultRowHeight="15" x14ac:dyDescent="0.25"/>
  <cols>
    <col min="1" max="1" width="10.140625" style="36" customWidth="1"/>
    <col min="2" max="2" width="11.85546875" style="36" customWidth="1"/>
    <col min="3" max="3" width="11.140625" style="36" customWidth="1"/>
    <col min="4" max="4" width="9.7109375" style="36" bestFit="1" customWidth="1"/>
    <col min="5" max="5" width="10" style="36" bestFit="1" customWidth="1"/>
    <col min="6" max="6" width="9.140625" style="36"/>
    <col min="7" max="7" width="13.140625" style="36" bestFit="1" customWidth="1"/>
    <col min="8" max="8" width="11.85546875" style="36" customWidth="1"/>
    <col min="9" max="9" width="10.42578125" style="36" bestFit="1" customWidth="1"/>
    <col min="10" max="16384" width="9.140625" style="36"/>
  </cols>
  <sheetData>
    <row r="1" spans="1:9" x14ac:dyDescent="0.25">
      <c r="A1" s="1" t="s">
        <v>150</v>
      </c>
    </row>
    <row r="3" spans="1:9" ht="16.5" customHeight="1" x14ac:dyDescent="0.25">
      <c r="A3" s="77" t="s">
        <v>156</v>
      </c>
      <c r="B3" s="77"/>
      <c r="C3" s="77"/>
      <c r="D3" s="77"/>
      <c r="E3" s="77"/>
      <c r="F3" s="77"/>
      <c r="G3" s="77"/>
      <c r="H3" s="77"/>
      <c r="I3" s="71"/>
    </row>
    <row r="4" spans="1:9" ht="30.75" customHeight="1" x14ac:dyDescent="0.25">
      <c r="A4" s="78"/>
      <c r="B4" s="78"/>
      <c r="C4" s="78"/>
      <c r="D4" s="78"/>
      <c r="E4" s="78"/>
      <c r="F4" s="78"/>
      <c r="G4" s="78"/>
      <c r="H4" s="78"/>
      <c r="I4" s="71"/>
    </row>
    <row r="5" spans="1:9" x14ac:dyDescent="0.25">
      <c r="A5" s="72"/>
      <c r="B5" s="72"/>
      <c r="C5" s="72"/>
      <c r="D5" s="72"/>
      <c r="E5" s="72"/>
      <c r="F5" s="72"/>
      <c r="G5" s="72"/>
      <c r="H5" s="72"/>
      <c r="I5" s="71"/>
    </row>
    <row r="6" spans="1:9" x14ac:dyDescent="0.25">
      <c r="A6" s="48" t="s">
        <v>11</v>
      </c>
      <c r="F6" s="48"/>
    </row>
    <row r="23" spans="1:6" x14ac:dyDescent="0.25">
      <c r="A23" s="48" t="s">
        <v>12</v>
      </c>
    </row>
    <row r="24" spans="1:6" ht="18" x14ac:dyDescent="0.35">
      <c r="A24" s="47" t="s">
        <v>13</v>
      </c>
      <c r="B24" s="47" t="s">
        <v>148</v>
      </c>
      <c r="C24" s="47" t="s">
        <v>147</v>
      </c>
      <c r="D24" s="47" t="s">
        <v>131</v>
      </c>
      <c r="E24" s="47" t="s">
        <v>146</v>
      </c>
      <c r="F24" s="47" t="s">
        <v>145</v>
      </c>
    </row>
    <row r="25" spans="1:6" ht="17.25" x14ac:dyDescent="0.25">
      <c r="A25" s="46" t="s">
        <v>19</v>
      </c>
      <c r="B25" s="46" t="s">
        <v>20</v>
      </c>
      <c r="C25" s="46" t="s">
        <v>20</v>
      </c>
      <c r="D25" s="46" t="s">
        <v>129</v>
      </c>
      <c r="E25" s="46" t="s">
        <v>20</v>
      </c>
      <c r="F25" s="46" t="s">
        <v>20</v>
      </c>
    </row>
    <row r="26" spans="1:6" x14ac:dyDescent="0.25">
      <c r="A26" s="45">
        <v>1</v>
      </c>
      <c r="B26" s="45">
        <v>400</v>
      </c>
      <c r="C26" s="45">
        <v>10</v>
      </c>
      <c r="D26" s="45">
        <f>B26*C26</f>
        <v>4000</v>
      </c>
      <c r="E26" s="45">
        <v>0</v>
      </c>
      <c r="F26" s="45">
        <v>0</v>
      </c>
    </row>
    <row r="27" spans="1:6" x14ac:dyDescent="0.25">
      <c r="A27" s="38">
        <v>2</v>
      </c>
      <c r="B27" s="38">
        <v>8</v>
      </c>
      <c r="C27" s="38">
        <v>150</v>
      </c>
      <c r="D27" s="38">
        <f>B27*C27</f>
        <v>1200</v>
      </c>
      <c r="E27" s="45">
        <v>100</v>
      </c>
      <c r="F27" s="38">
        <v>75</v>
      </c>
    </row>
    <row r="28" spans="1:6" x14ac:dyDescent="0.25">
      <c r="A28" s="38">
        <v>3</v>
      </c>
      <c r="B28" s="38">
        <v>8</v>
      </c>
      <c r="C28" s="38">
        <v>150</v>
      </c>
      <c r="D28" s="38">
        <f>B28*C28</f>
        <v>1200</v>
      </c>
      <c r="E28" s="45">
        <v>-100</v>
      </c>
      <c r="F28" s="38">
        <v>75</v>
      </c>
    </row>
    <row r="30" spans="1:6" x14ac:dyDescent="0.25">
      <c r="A30" s="48" t="s">
        <v>22</v>
      </c>
    </row>
    <row r="31" spans="1:6" ht="17.25" x14ac:dyDescent="0.25">
      <c r="A31" s="36" t="s">
        <v>23</v>
      </c>
      <c r="B31" s="36">
        <f>SUM(D26:D28)</f>
        <v>6400</v>
      </c>
      <c r="C31" s="36" t="s">
        <v>126</v>
      </c>
    </row>
    <row r="33" spans="1:9" x14ac:dyDescent="0.25">
      <c r="A33" s="48" t="s">
        <v>25</v>
      </c>
    </row>
    <row r="34" spans="1:9" ht="17.25" x14ac:dyDescent="0.25">
      <c r="A34" s="36" t="s">
        <v>26</v>
      </c>
      <c r="B34" s="36">
        <f>D26*F26+D27*F27+D28*F28</f>
        <v>180000</v>
      </c>
      <c r="C34" s="36" t="s">
        <v>149</v>
      </c>
    </row>
    <row r="35" spans="1:9" ht="17.25" x14ac:dyDescent="0.25">
      <c r="A35" s="36" t="s">
        <v>28</v>
      </c>
      <c r="B35" s="36">
        <f>D26*E26+D27*E27+D28*E28</f>
        <v>0</v>
      </c>
      <c r="C35" s="36" t="s">
        <v>149</v>
      </c>
    </row>
    <row r="37" spans="1:9" x14ac:dyDescent="0.25">
      <c r="A37" s="48" t="s">
        <v>30</v>
      </c>
    </row>
    <row r="38" spans="1:9" x14ac:dyDescent="0.25">
      <c r="A38" s="36" t="s">
        <v>31</v>
      </c>
      <c r="B38" s="53">
        <f>B35/B31</f>
        <v>0</v>
      </c>
      <c r="C38" s="36" t="s">
        <v>32</v>
      </c>
    </row>
    <row r="39" spans="1:9" x14ac:dyDescent="0.25">
      <c r="A39" s="36" t="s">
        <v>33</v>
      </c>
      <c r="B39" s="53">
        <f>B34/B31</f>
        <v>28.125</v>
      </c>
      <c r="C39" s="36" t="s">
        <v>32</v>
      </c>
    </row>
    <row r="41" spans="1:9" x14ac:dyDescent="0.25">
      <c r="A41" s="48" t="s">
        <v>34</v>
      </c>
    </row>
    <row r="42" spans="1:9" x14ac:dyDescent="0.25">
      <c r="A42" s="48"/>
    </row>
    <row r="43" spans="1:9" x14ac:dyDescent="0.25">
      <c r="A43" s="48"/>
    </row>
    <row r="44" spans="1:9" x14ac:dyDescent="0.25">
      <c r="A44" s="48"/>
    </row>
    <row r="45" spans="1:9" x14ac:dyDescent="0.25">
      <c r="A45" s="48"/>
    </row>
    <row r="46" spans="1:9" ht="15.75" thickBot="1" x14ac:dyDescent="0.3">
      <c r="A46" s="48"/>
    </row>
    <row r="47" spans="1:9" ht="18.75" thickTop="1" x14ac:dyDescent="0.35">
      <c r="A47" s="47" t="s">
        <v>13</v>
      </c>
      <c r="B47" s="47" t="s">
        <v>148</v>
      </c>
      <c r="C47" s="47" t="s">
        <v>147</v>
      </c>
      <c r="D47" s="47" t="s">
        <v>131</v>
      </c>
      <c r="E47" s="47" t="s">
        <v>146</v>
      </c>
      <c r="F47" s="70" t="s">
        <v>145</v>
      </c>
      <c r="G47" s="69" t="s">
        <v>144</v>
      </c>
      <c r="H47" s="68" t="s">
        <v>143</v>
      </c>
      <c r="I47" s="67" t="s">
        <v>142</v>
      </c>
    </row>
    <row r="48" spans="1:9" ht="17.25" x14ac:dyDescent="0.25">
      <c r="A48" s="46" t="s">
        <v>19</v>
      </c>
      <c r="B48" s="46" t="s">
        <v>20</v>
      </c>
      <c r="C48" s="46" t="s">
        <v>20</v>
      </c>
      <c r="D48" s="46" t="s">
        <v>129</v>
      </c>
      <c r="E48" s="46" t="s">
        <v>20</v>
      </c>
      <c r="F48" s="66" t="s">
        <v>20</v>
      </c>
      <c r="G48" s="65" t="s">
        <v>128</v>
      </c>
      <c r="H48" s="46" t="s">
        <v>128</v>
      </c>
      <c r="I48" s="64" t="s">
        <v>128</v>
      </c>
    </row>
    <row r="49" spans="1:9" x14ac:dyDescent="0.25">
      <c r="A49" s="45">
        <v>1</v>
      </c>
      <c r="B49" s="45">
        <v>400</v>
      </c>
      <c r="C49" s="45">
        <v>10</v>
      </c>
      <c r="D49" s="45">
        <f>B49*C49</f>
        <v>4000</v>
      </c>
      <c r="E49" s="45">
        <v>0</v>
      </c>
      <c r="F49" s="45">
        <v>0</v>
      </c>
      <c r="G49" s="63">
        <f>1/12*B49*C49^3+D49*(F49-$B$39)^2</f>
        <v>3197395.8333333335</v>
      </c>
      <c r="H49" s="62">
        <f>1/12*C49*B49^3+D49*(E49-$B$38)^2</f>
        <v>53333333.333333328</v>
      </c>
      <c r="I49" s="61">
        <f>D49*(E49-$B$38)*(F49-$B$39)</f>
        <v>0</v>
      </c>
    </row>
    <row r="50" spans="1:9" x14ac:dyDescent="0.25">
      <c r="A50" s="38">
        <v>2</v>
      </c>
      <c r="B50" s="38">
        <v>8</v>
      </c>
      <c r="C50" s="38">
        <v>150</v>
      </c>
      <c r="D50" s="38">
        <f>B50*C50</f>
        <v>1200</v>
      </c>
      <c r="E50" s="45">
        <v>100</v>
      </c>
      <c r="F50" s="38">
        <v>75</v>
      </c>
      <c r="G50" s="63">
        <f>1/12*B50*C50^3+D50*(F50-$B$39)^2</f>
        <v>4886718.75</v>
      </c>
      <c r="H50" s="62">
        <f>1/12*C50*B50^3+D50*(E50-$B$38)^2</f>
        <v>12006400</v>
      </c>
      <c r="I50" s="61">
        <f>D50*(E50-$B$38)*(F50-$B$39)</f>
        <v>5625000</v>
      </c>
    </row>
    <row r="51" spans="1:9" ht="15.75" thickBot="1" x14ac:dyDescent="0.3">
      <c r="A51" s="38">
        <v>3</v>
      </c>
      <c r="B51" s="38">
        <v>8</v>
      </c>
      <c r="C51" s="38">
        <v>150</v>
      </c>
      <c r="D51" s="38">
        <f>B51*C51</f>
        <v>1200</v>
      </c>
      <c r="E51" s="45">
        <v>-100</v>
      </c>
      <c r="F51" s="38">
        <v>75</v>
      </c>
      <c r="G51" s="60">
        <f>1/12*B51*C51^3+D51*(F51-$B$39)^2</f>
        <v>4886718.75</v>
      </c>
      <c r="H51" s="59">
        <f>1/12*C51*B51^3+D51*(E51-$B$38)^2</f>
        <v>12006400</v>
      </c>
      <c r="I51" s="58">
        <f>D51*(E51-$B$38)*(F51-$B$39)</f>
        <v>-5625000</v>
      </c>
    </row>
    <row r="52" spans="1:9" ht="15.75" thickTop="1" x14ac:dyDescent="0.25"/>
    <row r="53" spans="1:9" ht="18.75" x14ac:dyDescent="0.35">
      <c r="A53" s="36" t="s">
        <v>141</v>
      </c>
      <c r="B53" s="57">
        <f>SUM(G49:G51)</f>
        <v>12970833.333333334</v>
      </c>
      <c r="C53" s="36" t="s">
        <v>125</v>
      </c>
      <c r="F53" s="56"/>
    </row>
    <row r="54" spans="1:9" ht="18.75" x14ac:dyDescent="0.35">
      <c r="A54" s="36" t="s">
        <v>140</v>
      </c>
      <c r="B54" s="57">
        <f>SUM(H49:H51)</f>
        <v>77346133.333333328</v>
      </c>
      <c r="C54" s="36" t="s">
        <v>125</v>
      </c>
      <c r="F54" s="56"/>
    </row>
    <row r="55" spans="1:9" x14ac:dyDescent="0.25">
      <c r="B55" s="57"/>
      <c r="F55" s="56"/>
    </row>
    <row r="56" spans="1:9" x14ac:dyDescent="0.25">
      <c r="A56" s="43" t="s">
        <v>151</v>
      </c>
      <c r="B56" s="57"/>
      <c r="F56" s="56"/>
    </row>
    <row r="57" spans="1:9" x14ac:dyDescent="0.25">
      <c r="B57" s="57"/>
      <c r="F57" s="56"/>
    </row>
    <row r="58" spans="1:9" x14ac:dyDescent="0.25">
      <c r="A58" s="41" t="s">
        <v>152</v>
      </c>
      <c r="B58" s="37" t="s">
        <v>57</v>
      </c>
      <c r="C58" s="41" t="s">
        <v>155</v>
      </c>
      <c r="F58" s="56"/>
    </row>
    <row r="59" spans="1:9" x14ac:dyDescent="0.25">
      <c r="A59" s="41" t="s">
        <v>153</v>
      </c>
      <c r="B59" s="50">
        <f>-28.13-5</f>
        <v>-33.129999999999995</v>
      </c>
      <c r="C59" s="50">
        <f>25000000/B53*B59</f>
        <v>-63.854802441374865</v>
      </c>
      <c r="F59" s="56"/>
    </row>
    <row r="60" spans="1:9" x14ac:dyDescent="0.25">
      <c r="A60" s="41" t="s">
        <v>154</v>
      </c>
      <c r="B60" s="50">
        <v>121.87</v>
      </c>
      <c r="C60" s="50">
        <f>25000000/B53*B60</f>
        <v>234.89238676517826</v>
      </c>
      <c r="F60" s="56"/>
    </row>
    <row r="62" spans="1:9" x14ac:dyDescent="0.25">
      <c r="A62" s="43" t="s">
        <v>139</v>
      </c>
    </row>
    <row r="63" spans="1:9" x14ac:dyDescent="0.25">
      <c r="A63" s="48"/>
    </row>
    <row r="64" spans="1:9" x14ac:dyDescent="0.25">
      <c r="A64" s="36" t="s">
        <v>64</v>
      </c>
      <c r="B64" s="36">
        <v>8000</v>
      </c>
      <c r="C64" s="36" t="s">
        <v>54</v>
      </c>
    </row>
    <row r="65" spans="1:8" x14ac:dyDescent="0.25">
      <c r="A65" s="48"/>
    </row>
    <row r="66" spans="1:8" x14ac:dyDescent="0.25">
      <c r="A66" s="36" t="s">
        <v>65</v>
      </c>
      <c r="B66" s="49"/>
    </row>
    <row r="67" spans="1:8" x14ac:dyDescent="0.25">
      <c r="A67" s="36" t="s">
        <v>66</v>
      </c>
      <c r="B67" s="52">
        <v>10</v>
      </c>
      <c r="C67" s="36" t="s">
        <v>32</v>
      </c>
    </row>
    <row r="68" spans="1:8" x14ac:dyDescent="0.25">
      <c r="B68" s="52"/>
    </row>
    <row r="69" spans="1:8" x14ac:dyDescent="0.25">
      <c r="A69" s="41" t="s">
        <v>67</v>
      </c>
      <c r="B69" s="40" t="s">
        <v>68</v>
      </c>
      <c r="C69" s="40" t="s">
        <v>69</v>
      </c>
    </row>
    <row r="70" spans="1:8" x14ac:dyDescent="0.25">
      <c r="A70" s="39">
        <v>0</v>
      </c>
      <c r="B70" s="37">
        <v>0</v>
      </c>
      <c r="C70" s="50">
        <f>$B$64*B70/($B$53*$B$67)</f>
        <v>0</v>
      </c>
    </row>
    <row r="71" spans="1:8" x14ac:dyDescent="0.25">
      <c r="A71" s="38">
        <v>100</v>
      </c>
      <c r="B71" s="37">
        <f>A71*B67*(-B39)</f>
        <v>-28125</v>
      </c>
      <c r="C71" s="50">
        <f>$B$64*B71/($B$53*$B$67)</f>
        <v>-1.7346610986186957</v>
      </c>
      <c r="G71" s="55"/>
    </row>
    <row r="72" spans="1:8" x14ac:dyDescent="0.25">
      <c r="A72" s="48"/>
    </row>
    <row r="73" spans="1:8" x14ac:dyDescent="0.25">
      <c r="A73" s="36" t="s">
        <v>70</v>
      </c>
      <c r="B73" s="49"/>
      <c r="H73" s="53"/>
    </row>
    <row r="74" spans="1:8" x14ac:dyDescent="0.25">
      <c r="A74" s="36" t="s">
        <v>66</v>
      </c>
      <c r="B74" s="52">
        <v>8</v>
      </c>
      <c r="C74" s="36" t="s">
        <v>32</v>
      </c>
    </row>
    <row r="75" spans="1:8" x14ac:dyDescent="0.25">
      <c r="B75" s="52"/>
    </row>
    <row r="76" spans="1:8" x14ac:dyDescent="0.25">
      <c r="A76" s="41" t="s">
        <v>71</v>
      </c>
      <c r="B76" s="40" t="s">
        <v>68</v>
      </c>
      <c r="C76" s="40" t="s">
        <v>69</v>
      </c>
    </row>
    <row r="77" spans="1:8" x14ac:dyDescent="0.25">
      <c r="A77" s="39">
        <v>0</v>
      </c>
      <c r="B77" s="37">
        <f>A77*$B$74*($A$79-$B$39-A77/2)</f>
        <v>0</v>
      </c>
      <c r="C77" s="50">
        <f>$B$64*B77/($B$53*$B$74)</f>
        <v>0</v>
      </c>
    </row>
    <row r="78" spans="1:8" x14ac:dyDescent="0.25">
      <c r="A78" s="42">
        <f>A79-B39</f>
        <v>121.875</v>
      </c>
      <c r="B78" s="37">
        <f>A78*$B$74*($A$79-$B$39-A78/2)</f>
        <v>59414.0625</v>
      </c>
      <c r="C78" s="50">
        <f>$B$64*B78/($B$53*$B$74)</f>
        <v>4.5805894635399937</v>
      </c>
    </row>
    <row r="79" spans="1:8" x14ac:dyDescent="0.25">
      <c r="A79" s="38">
        <v>150</v>
      </c>
      <c r="B79" s="37">
        <f>A79*$B$74*($A$79-$B$39-A79/2)</f>
        <v>56250</v>
      </c>
      <c r="C79" s="50">
        <f>$B$64*B79/($B$53*$B$74)</f>
        <v>4.336652746546739</v>
      </c>
      <c r="D79" s="53"/>
    </row>
    <row r="80" spans="1:8" x14ac:dyDescent="0.25">
      <c r="B80" s="54"/>
      <c r="D80" s="53"/>
    </row>
    <row r="81" spans="1:3" x14ac:dyDescent="0.25">
      <c r="A81" s="36" t="s">
        <v>138</v>
      </c>
      <c r="B81" s="49"/>
    </row>
    <row r="82" spans="1:3" x14ac:dyDescent="0.25">
      <c r="A82" s="36" t="s">
        <v>66</v>
      </c>
      <c r="B82" s="52">
        <v>10</v>
      </c>
      <c r="C82" s="36" t="s">
        <v>32</v>
      </c>
    </row>
    <row r="83" spans="1:3" x14ac:dyDescent="0.25">
      <c r="B83" s="52"/>
    </row>
    <row r="84" spans="1:3" x14ac:dyDescent="0.25">
      <c r="A84" s="41" t="s">
        <v>116</v>
      </c>
      <c r="B84" s="40" t="s">
        <v>68</v>
      </c>
      <c r="C84" s="40" t="s">
        <v>69</v>
      </c>
    </row>
    <row r="85" spans="1:3" x14ac:dyDescent="0.25">
      <c r="A85" s="39">
        <v>0</v>
      </c>
      <c r="B85" s="37">
        <f>100*$B$82*(-$B$39)+$B$74*$A$79*(150-$B$39-150/2)+A85*$B$82*(-$B$39)</f>
        <v>28125</v>
      </c>
      <c r="C85" s="50">
        <f>$B$64*B85/($B$53*$B$82)</f>
        <v>1.7346610986186957</v>
      </c>
    </row>
    <row r="86" spans="1:3" x14ac:dyDescent="0.25">
      <c r="A86" s="42">
        <v>100</v>
      </c>
      <c r="B86" s="37">
        <f>100*$B$82*(-$B$39)+$B$74*$A$79*(150-$B$39-150/2)+A86*$B$82*(-$B$39)</f>
        <v>0</v>
      </c>
      <c r="C86" s="50">
        <f>$B$64*B86/($B$53*$B$82)</f>
        <v>0</v>
      </c>
    </row>
    <row r="89" spans="1:3" x14ac:dyDescent="0.25">
      <c r="A89" s="48" t="s">
        <v>137</v>
      </c>
    </row>
    <row r="91" spans="1:3" x14ac:dyDescent="0.25">
      <c r="A91" s="51" t="s">
        <v>136</v>
      </c>
      <c r="B91" s="51" t="s">
        <v>135</v>
      </c>
      <c r="C91" s="41" t="s">
        <v>134</v>
      </c>
    </row>
    <row r="92" spans="1:3" x14ac:dyDescent="0.25">
      <c r="A92" s="51" t="s">
        <v>133</v>
      </c>
      <c r="B92" s="50">
        <f>ABS(C71*B67)+ABS(C85*B82)</f>
        <v>34.693221972373912</v>
      </c>
      <c r="C92" s="50">
        <f>C79*B74</f>
        <v>34.693221972373912</v>
      </c>
    </row>
    <row r="95" spans="1:3" x14ac:dyDescent="0.25">
      <c r="A95" s="43" t="s">
        <v>132</v>
      </c>
    </row>
    <row r="97" spans="1:5" x14ac:dyDescent="0.25">
      <c r="A97" s="48" t="s">
        <v>12</v>
      </c>
    </row>
    <row r="98" spans="1:5" ht="18" x14ac:dyDescent="0.35">
      <c r="A98" s="47" t="s">
        <v>79</v>
      </c>
      <c r="B98" s="47" t="s">
        <v>122</v>
      </c>
      <c r="C98" s="47" t="s">
        <v>121</v>
      </c>
      <c r="D98" s="47" t="s">
        <v>131</v>
      </c>
      <c r="E98" s="47" t="s">
        <v>130</v>
      </c>
    </row>
    <row r="99" spans="1:5" ht="17.25" x14ac:dyDescent="0.25">
      <c r="A99" s="46" t="s">
        <v>19</v>
      </c>
      <c r="B99" s="46" t="s">
        <v>20</v>
      </c>
      <c r="C99" s="46" t="s">
        <v>20</v>
      </c>
      <c r="D99" s="46" t="s">
        <v>129</v>
      </c>
      <c r="E99" s="46" t="s">
        <v>128</v>
      </c>
    </row>
    <row r="100" spans="1:5" x14ac:dyDescent="0.25">
      <c r="A100" s="45">
        <v>1</v>
      </c>
      <c r="B100" s="45">
        <v>400</v>
      </c>
      <c r="C100" s="45">
        <v>10</v>
      </c>
      <c r="D100" s="45">
        <f>B100*C100</f>
        <v>4000</v>
      </c>
      <c r="E100" s="44">
        <f>1/3*B100*C100^3</f>
        <v>133333.33333333331</v>
      </c>
    </row>
    <row r="101" spans="1:5" x14ac:dyDescent="0.25">
      <c r="A101" s="38">
        <v>2</v>
      </c>
      <c r="B101" s="38">
        <v>150</v>
      </c>
      <c r="C101" s="38">
        <v>8</v>
      </c>
      <c r="D101" s="45">
        <f>B101*C101</f>
        <v>1200</v>
      </c>
      <c r="E101" s="44">
        <f>1/3*B101*C101^3</f>
        <v>25600</v>
      </c>
    </row>
    <row r="102" spans="1:5" x14ac:dyDescent="0.25">
      <c r="A102" s="38">
        <v>3</v>
      </c>
      <c r="B102" s="38">
        <v>150</v>
      </c>
      <c r="C102" s="38">
        <v>8</v>
      </c>
      <c r="D102" s="45">
        <f>B102*C102</f>
        <v>1200</v>
      </c>
      <c r="E102" s="44">
        <f>1/3*B102*C102^3</f>
        <v>25600</v>
      </c>
    </row>
    <row r="105" spans="1:5" x14ac:dyDescent="0.25">
      <c r="A105" s="48" t="s">
        <v>127</v>
      </c>
    </row>
    <row r="106" spans="1:5" ht="17.25" x14ac:dyDescent="0.25">
      <c r="A106" s="36" t="s">
        <v>23</v>
      </c>
      <c r="B106" s="36">
        <f>SUM(D100:D102)</f>
        <v>6400</v>
      </c>
      <c r="C106" s="36" t="s">
        <v>126</v>
      </c>
    </row>
    <row r="107" spans="1:5" ht="17.25" x14ac:dyDescent="0.25">
      <c r="A107" s="36" t="s">
        <v>86</v>
      </c>
      <c r="B107" s="49">
        <f>SUM(E100:E102)</f>
        <v>184533.33333333331</v>
      </c>
      <c r="C107" s="36" t="s">
        <v>125</v>
      </c>
    </row>
    <row r="110" spans="1:5" x14ac:dyDescent="0.25">
      <c r="A110" s="48" t="s">
        <v>124</v>
      </c>
    </row>
    <row r="111" spans="1:5" x14ac:dyDescent="0.25">
      <c r="A111" s="48"/>
    </row>
    <row r="112" spans="1:5" x14ac:dyDescent="0.25">
      <c r="A112" s="36" t="s">
        <v>123</v>
      </c>
      <c r="B112" s="36">
        <f>B64*100</f>
        <v>800000</v>
      </c>
      <c r="C112" s="36" t="s">
        <v>53</v>
      </c>
    </row>
    <row r="113" spans="1:4" x14ac:dyDescent="0.25">
      <c r="A113" s="48"/>
    </row>
    <row r="114" spans="1:4" ht="18" x14ac:dyDescent="0.35">
      <c r="A114" s="47" t="s">
        <v>79</v>
      </c>
      <c r="B114" s="47" t="s">
        <v>122</v>
      </c>
      <c r="C114" s="47" t="s">
        <v>121</v>
      </c>
      <c r="D114" s="47" t="s">
        <v>120</v>
      </c>
    </row>
    <row r="115" spans="1:4" x14ac:dyDescent="0.25">
      <c r="A115" s="46" t="s">
        <v>19</v>
      </c>
      <c r="B115" s="46" t="s">
        <v>20</v>
      </c>
      <c r="C115" s="46" t="s">
        <v>20</v>
      </c>
      <c r="D115" s="46" t="s">
        <v>92</v>
      </c>
    </row>
    <row r="116" spans="1:4" x14ac:dyDescent="0.25">
      <c r="A116" s="45">
        <v>1</v>
      </c>
      <c r="B116" s="45">
        <v>400</v>
      </c>
      <c r="C116" s="45">
        <v>10</v>
      </c>
      <c r="D116" s="73">
        <f>$B$112/$B$107*C116</f>
        <v>43.352601156069369</v>
      </c>
    </row>
    <row r="117" spans="1:4" x14ac:dyDescent="0.25">
      <c r="A117" s="38">
        <v>2</v>
      </c>
      <c r="B117" s="38">
        <v>150</v>
      </c>
      <c r="C117" s="38">
        <v>8</v>
      </c>
      <c r="D117" s="73">
        <f>$B$112/$B$107*C117</f>
        <v>34.682080924855498</v>
      </c>
    </row>
    <row r="118" spans="1:4" x14ac:dyDescent="0.25">
      <c r="A118" s="38">
        <v>3</v>
      </c>
      <c r="B118" s="38">
        <v>150</v>
      </c>
      <c r="C118" s="38">
        <v>8</v>
      </c>
      <c r="D118" s="73">
        <f>$B$112/$B$107*C118</f>
        <v>34.682080924855498</v>
      </c>
    </row>
    <row r="121" spans="1:4" x14ac:dyDescent="0.25">
      <c r="A121" s="43" t="s">
        <v>119</v>
      </c>
    </row>
    <row r="123" spans="1:4" x14ac:dyDescent="0.25">
      <c r="A123" s="41" t="s">
        <v>67</v>
      </c>
      <c r="B123" s="40" t="s">
        <v>115</v>
      </c>
      <c r="C123" s="40" t="s">
        <v>69</v>
      </c>
    </row>
    <row r="124" spans="1:4" x14ac:dyDescent="0.25">
      <c r="A124" s="39">
        <v>0</v>
      </c>
      <c r="B124" s="37" t="s">
        <v>114</v>
      </c>
      <c r="C124" s="50">
        <f>C70+D116</f>
        <v>43.352601156069369</v>
      </c>
    </row>
    <row r="125" spans="1:4" x14ac:dyDescent="0.25">
      <c r="A125" s="39">
        <v>0</v>
      </c>
      <c r="B125" s="37" t="s">
        <v>113</v>
      </c>
      <c r="C125" s="50">
        <f>D116</f>
        <v>43.352601156069369</v>
      </c>
    </row>
    <row r="126" spans="1:4" x14ac:dyDescent="0.25">
      <c r="A126" s="39">
        <v>100</v>
      </c>
      <c r="B126" s="37" t="s">
        <v>114</v>
      </c>
      <c r="C126" s="50">
        <f>D116+ABS(C71)</f>
        <v>45.087262254688063</v>
      </c>
    </row>
    <row r="127" spans="1:4" x14ac:dyDescent="0.25">
      <c r="A127" s="38">
        <v>100</v>
      </c>
      <c r="B127" s="37" t="s">
        <v>113</v>
      </c>
      <c r="C127" s="50">
        <f>D116-ABS(C71)</f>
        <v>41.617940057450674</v>
      </c>
    </row>
    <row r="130" spans="1:3" x14ac:dyDescent="0.25">
      <c r="A130" s="41" t="s">
        <v>71</v>
      </c>
      <c r="B130" s="40" t="s">
        <v>115</v>
      </c>
      <c r="C130" s="40" t="s">
        <v>69</v>
      </c>
    </row>
    <row r="131" spans="1:3" x14ac:dyDescent="0.25">
      <c r="A131" s="39">
        <v>0</v>
      </c>
      <c r="B131" s="37" t="s">
        <v>118</v>
      </c>
      <c r="C131" s="50">
        <f>D117</f>
        <v>34.682080924855498</v>
      </c>
    </row>
    <row r="132" spans="1:3" x14ac:dyDescent="0.25">
      <c r="A132" s="39">
        <v>0</v>
      </c>
      <c r="B132" s="37" t="s">
        <v>117</v>
      </c>
      <c r="C132" s="50">
        <f>D117</f>
        <v>34.682080924855498</v>
      </c>
    </row>
    <row r="133" spans="1:3" x14ac:dyDescent="0.25">
      <c r="A133" s="42">
        <v>121.88</v>
      </c>
      <c r="B133" s="37" t="s">
        <v>118</v>
      </c>
      <c r="C133" s="50">
        <f>D117-ABS(C78)</f>
        <v>30.101491461315504</v>
      </c>
    </row>
    <row r="134" spans="1:3" x14ac:dyDescent="0.25">
      <c r="A134" s="42">
        <v>121.88</v>
      </c>
      <c r="B134" s="37" t="s">
        <v>117</v>
      </c>
      <c r="C134" s="50">
        <f>D117+ABS(C78)</f>
        <v>39.262670388395492</v>
      </c>
    </row>
    <row r="135" spans="1:3" x14ac:dyDescent="0.25">
      <c r="A135" s="39">
        <v>150</v>
      </c>
      <c r="B135" s="37" t="s">
        <v>118</v>
      </c>
      <c r="C135" s="50">
        <f>D117-ABS(C79)</f>
        <v>30.345428178308758</v>
      </c>
    </row>
    <row r="136" spans="1:3" x14ac:dyDescent="0.25">
      <c r="A136" s="38">
        <v>150</v>
      </c>
      <c r="B136" s="37" t="s">
        <v>117</v>
      </c>
      <c r="C136" s="50">
        <f>D117+ABS(C79)</f>
        <v>39.018733671402238</v>
      </c>
    </row>
    <row r="139" spans="1:3" x14ac:dyDescent="0.25">
      <c r="A139" s="41" t="s">
        <v>116</v>
      </c>
      <c r="B139" s="40" t="s">
        <v>115</v>
      </c>
      <c r="C139" s="40" t="s">
        <v>69</v>
      </c>
    </row>
    <row r="140" spans="1:3" x14ac:dyDescent="0.25">
      <c r="A140" s="39">
        <v>0</v>
      </c>
      <c r="B140" s="37" t="s">
        <v>114</v>
      </c>
      <c r="C140" s="50">
        <f>D116-C85</f>
        <v>41.617940057450674</v>
      </c>
    </row>
    <row r="141" spans="1:3" x14ac:dyDescent="0.25">
      <c r="A141" s="39">
        <v>0</v>
      </c>
      <c r="B141" s="37" t="s">
        <v>113</v>
      </c>
      <c r="C141" s="50">
        <f>D116+C85</f>
        <v>45.087262254688063</v>
      </c>
    </row>
    <row r="142" spans="1:3" x14ac:dyDescent="0.25">
      <c r="A142" s="39">
        <v>100</v>
      </c>
      <c r="B142" s="37" t="s">
        <v>114</v>
      </c>
      <c r="C142" s="50">
        <f>D116</f>
        <v>43.352601156069369</v>
      </c>
    </row>
    <row r="143" spans="1:3" x14ac:dyDescent="0.25">
      <c r="A143" s="38">
        <v>100</v>
      </c>
      <c r="B143" s="37" t="s">
        <v>113</v>
      </c>
      <c r="C143" s="50">
        <f>D116</f>
        <v>43.352601156069369</v>
      </c>
    </row>
    <row r="146" spans="1:4" x14ac:dyDescent="0.25">
      <c r="A146" s="43" t="s">
        <v>157</v>
      </c>
    </row>
    <row r="148" spans="1:4" x14ac:dyDescent="0.25">
      <c r="A148" s="36" t="s">
        <v>158</v>
      </c>
    </row>
    <row r="149" spans="1:4" x14ac:dyDescent="0.25">
      <c r="A149" s="36" t="s">
        <v>159</v>
      </c>
    </row>
    <row r="151" spans="1:4" x14ac:dyDescent="0.25">
      <c r="A151" s="41" t="s">
        <v>55</v>
      </c>
      <c r="B151" s="41" t="s">
        <v>95</v>
      </c>
      <c r="C151" s="41" t="s">
        <v>97</v>
      </c>
      <c r="D151" s="41" t="s">
        <v>160</v>
      </c>
    </row>
    <row r="152" spans="1:4" x14ac:dyDescent="0.25">
      <c r="A152" s="38">
        <v>1</v>
      </c>
      <c r="B152" s="50">
        <v>-63.854802441374865</v>
      </c>
      <c r="C152" s="50">
        <v>45.087262254688063</v>
      </c>
      <c r="D152" s="41">
        <f>(B152^2+3*C152^2)^0.5</f>
        <v>100.87625809721568</v>
      </c>
    </row>
    <row r="153" spans="1:4" x14ac:dyDescent="0.25">
      <c r="A153" s="38">
        <v>2</v>
      </c>
      <c r="B153" s="50">
        <v>234.89238676517826</v>
      </c>
      <c r="C153" s="50">
        <v>34.682080924855498</v>
      </c>
      <c r="D153" s="41">
        <f>(B153^2+3*C153^2)^0.5</f>
        <v>242.45200261510888</v>
      </c>
    </row>
  </sheetData>
  <mergeCells count="1">
    <mergeCell ref="A3:H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Verifica_es1</vt:lpstr>
      <vt:lpstr>Verifica_es2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Nicola Cefis</cp:lastModifiedBy>
  <dcterms:created xsi:type="dcterms:W3CDTF">2018-11-28T12:12:14Z</dcterms:created>
  <dcterms:modified xsi:type="dcterms:W3CDTF">2024-05-28T15:32:13Z</dcterms:modified>
</cp:coreProperties>
</file>