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ownloads\"/>
    </mc:Choice>
  </mc:AlternateContent>
  <xr:revisionPtr revIDLastSave="0" documentId="13_ncr:1_{13053860-544D-4786-A9D9-0423F489A53F}" xr6:coauthVersionLast="47" xr6:coauthVersionMax="47" xr10:uidLastSave="{00000000-0000-0000-0000-000000000000}"/>
  <bookViews>
    <workbookView xWindow="14295" yWindow="0" windowWidth="14610" windowHeight="15585" xr2:uid="{128A207C-D23F-4DFD-AD26-A5997782E480}"/>
  </bookViews>
  <sheets>
    <sheet name="Foglio1" sheetId="9" r:id="rId1"/>
    <sheet name="Foglio2" sheetId="5" r:id="rId2"/>
    <sheet name="Foglio3" sheetId="6" r:id="rId3"/>
    <sheet name="Foglio4" sheetId="7" r:id="rId4"/>
    <sheet name="Foglio5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9" l="1"/>
  <c r="B28" i="9" s="1"/>
  <c r="D23" i="9"/>
  <c r="B32" i="9" s="1"/>
  <c r="B35" i="9" s="1"/>
  <c r="E23" i="9"/>
  <c r="D24" i="9"/>
  <c r="D25" i="9"/>
  <c r="E25" i="9"/>
  <c r="D46" i="9"/>
  <c r="D47" i="9"/>
  <c r="E47" i="9"/>
  <c r="D48" i="9"/>
  <c r="D49" i="9"/>
  <c r="E49" i="9"/>
  <c r="B56" i="9"/>
  <c r="B57" i="9"/>
  <c r="A64" i="9"/>
  <c r="G49" i="9" l="1"/>
  <c r="G48" i="9"/>
  <c r="H47" i="9"/>
  <c r="H46" i="9"/>
  <c r="B52" i="9" s="1"/>
  <c r="I46" i="9"/>
  <c r="B31" i="9"/>
  <c r="B36" i="9" s="1"/>
  <c r="I48" i="9"/>
  <c r="H48" i="9"/>
  <c r="H49" i="9"/>
  <c r="I47" i="9"/>
  <c r="G46" i="9" l="1"/>
  <c r="B51" i="9" s="1"/>
  <c r="G47" i="9"/>
  <c r="I49" i="9"/>
  <c r="D68" i="9" l="1"/>
  <c r="B60" i="9"/>
  <c r="D69" i="9"/>
  <c r="B63" i="9" l="1"/>
  <c r="B64" i="9"/>
  <c r="B68" i="7" l="1"/>
  <c r="D68" i="7"/>
  <c r="D63" i="7"/>
  <c r="B72" i="7"/>
  <c r="B73" i="6"/>
  <c r="D69" i="6"/>
  <c r="B30" i="8"/>
  <c r="B29" i="8"/>
  <c r="B28" i="8"/>
  <c r="B37" i="8"/>
  <c r="B38" i="8"/>
  <c r="C29" i="8"/>
  <c r="B63" i="7"/>
  <c r="B64" i="7"/>
  <c r="B62" i="7"/>
  <c r="F55" i="7"/>
  <c r="E55" i="7"/>
  <c r="D55" i="7"/>
  <c r="F54" i="7"/>
  <c r="E54" i="7"/>
  <c r="D54" i="7"/>
  <c r="D53" i="7"/>
  <c r="F52" i="7"/>
  <c r="E52" i="7"/>
  <c r="D52" i="7"/>
  <c r="F51" i="7"/>
  <c r="E51" i="7"/>
  <c r="D51" i="7"/>
  <c r="G55" i="6"/>
  <c r="F30" i="7"/>
  <c r="E30" i="7"/>
  <c r="F29" i="7"/>
  <c r="E29" i="7"/>
  <c r="F27" i="7"/>
  <c r="E27" i="7"/>
  <c r="F26" i="7"/>
  <c r="E26" i="7"/>
  <c r="D27" i="7"/>
  <c r="D28" i="7"/>
  <c r="D29" i="7"/>
  <c r="D30" i="7"/>
  <c r="D26" i="7"/>
  <c r="D97" i="5"/>
  <c r="D96" i="5"/>
  <c r="H55" i="6"/>
  <c r="H54" i="6"/>
  <c r="H53" i="6"/>
  <c r="H52" i="6"/>
  <c r="H51" i="6"/>
  <c r="E53" i="6"/>
  <c r="E54" i="6"/>
  <c r="F55" i="6"/>
  <c r="D55" i="6"/>
  <c r="F54" i="6"/>
  <c r="D54" i="6"/>
  <c r="F53" i="6"/>
  <c r="D53" i="6"/>
  <c r="F52" i="6"/>
  <c r="D52" i="6"/>
  <c r="D51" i="6"/>
  <c r="D27" i="6"/>
  <c r="D30" i="6"/>
  <c r="F30" i="6"/>
  <c r="F28" i="6"/>
  <c r="B62" i="6"/>
  <c r="B66" i="6" s="1"/>
  <c r="F29" i="6"/>
  <c r="F27" i="6"/>
  <c r="E29" i="6"/>
  <c r="E28" i="6"/>
  <c r="D29" i="6"/>
  <c r="D28" i="6"/>
  <c r="B85" i="5"/>
  <c r="A93" i="5"/>
  <c r="D71" i="5"/>
  <c r="F70" i="5"/>
  <c r="D70" i="5"/>
  <c r="D69" i="5"/>
  <c r="F47" i="5"/>
  <c r="D26" i="6"/>
  <c r="D48" i="5"/>
  <c r="D47" i="5"/>
  <c r="D46" i="5"/>
  <c r="B33" i="8" l="1"/>
  <c r="B58" i="8" s="1"/>
  <c r="B32" i="8"/>
  <c r="B65" i="7"/>
  <c r="B33" i="7"/>
  <c r="B37" i="7"/>
  <c r="B36" i="7"/>
  <c r="B33" i="6"/>
  <c r="B37" i="6"/>
  <c r="B36" i="6"/>
  <c r="B51" i="5"/>
  <c r="B54" i="5"/>
  <c r="B55" i="5"/>
  <c r="B65" i="8" l="1"/>
  <c r="B66" i="8"/>
  <c r="B60" i="8"/>
  <c r="B49" i="8"/>
  <c r="B51" i="8" s="1"/>
  <c r="B41" i="8"/>
  <c r="B42" i="8"/>
  <c r="B40" i="7"/>
  <c r="B41" i="7"/>
  <c r="B79" i="5"/>
  <c r="B40" i="6"/>
  <c r="B41" i="6"/>
  <c r="B64" i="6" s="1"/>
  <c r="B65" i="6" s="1"/>
  <c r="B58" i="5"/>
  <c r="H70" i="5" s="1"/>
  <c r="B59" i="5"/>
  <c r="G70" i="5" s="1"/>
  <c r="B50" i="8" l="1"/>
  <c r="G53" i="7"/>
  <c r="G54" i="7"/>
  <c r="G51" i="7"/>
  <c r="G55" i="7"/>
  <c r="G52" i="7"/>
  <c r="H53" i="7"/>
  <c r="I53" i="7"/>
  <c r="H52" i="7"/>
  <c r="I54" i="7"/>
  <c r="H54" i="7"/>
  <c r="I52" i="7"/>
  <c r="H55" i="7"/>
  <c r="I51" i="7"/>
  <c r="H51" i="7"/>
  <c r="I55" i="7"/>
  <c r="G51" i="6"/>
  <c r="G52" i="6"/>
  <c r="G53" i="6"/>
  <c r="G54" i="6"/>
  <c r="I54" i="6"/>
  <c r="I52" i="6"/>
  <c r="I53" i="6"/>
  <c r="I55" i="6"/>
  <c r="I51" i="6"/>
  <c r="I70" i="5"/>
  <c r="H71" i="5"/>
  <c r="H69" i="5"/>
  <c r="I69" i="5"/>
  <c r="G71" i="5"/>
  <c r="I71" i="5"/>
  <c r="G69" i="5"/>
  <c r="B57" i="7" l="1"/>
  <c r="B58" i="7"/>
  <c r="B57" i="6"/>
  <c r="B58" i="6"/>
  <c r="B73" i="5"/>
  <c r="B74" i="5"/>
  <c r="D76" i="6" l="1"/>
  <c r="D77" i="6"/>
  <c r="D76" i="7"/>
  <c r="D75" i="7"/>
  <c r="B69" i="6"/>
  <c r="B89" i="5"/>
  <c r="D89" i="5"/>
  <c r="B71" i="7" l="1"/>
  <c r="B72" i="6"/>
  <c r="B93" i="5"/>
  <c r="B92" i="5"/>
</calcChain>
</file>

<file path=xl/sharedStrings.xml><?xml version="1.0" encoding="utf-8"?>
<sst xmlns="http://schemas.openxmlformats.org/spreadsheetml/2006/main" count="349" uniqueCount="99">
  <si>
    <t>A</t>
  </si>
  <si>
    <t>mm</t>
  </si>
  <si>
    <t>Tema:</t>
  </si>
  <si>
    <t>Partizionamento:</t>
  </si>
  <si>
    <t>Tabella geometria:</t>
  </si>
  <si>
    <t>Figura</t>
  </si>
  <si>
    <t>x'G</t>
  </si>
  <si>
    <t>y'G</t>
  </si>
  <si>
    <t>Sx'</t>
  </si>
  <si>
    <t>Sy'</t>
  </si>
  <si>
    <t>[mm]</t>
  </si>
  <si>
    <r>
      <t>[mm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</si>
  <si>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[-]</t>
  </si>
  <si>
    <r>
      <t>mm</t>
    </r>
    <r>
      <rPr>
        <vertAlign val="superscript"/>
        <sz val="11"/>
        <color theme="1"/>
        <rFont val="Calibri"/>
        <family val="2"/>
        <scheme val="minor"/>
      </rPr>
      <t>3</t>
    </r>
  </si>
  <si>
    <t>Calcolo dei momenti statici rispetto agli assi x'-y'</t>
  </si>
  <si>
    <t>Calcolo della posizione del baricentro nel sistema x'-y'</t>
  </si>
  <si>
    <t>Calcolo area totale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</si>
  <si>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</si>
  <si>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y'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</si>
  <si>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x'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</si>
  <si>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</si>
  <si>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H</t>
    </r>
    <r>
      <rPr>
        <b/>
        <vertAlign val="subscript"/>
        <sz val="11"/>
        <color theme="1"/>
        <rFont val="Calibri"/>
        <family val="2"/>
        <scheme val="minor"/>
      </rPr>
      <t>i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</si>
  <si>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</si>
  <si>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Calcolo dei momenti d'inerzia rispetto agli assi x-y (paralleli a x'-y' ma passanti per il baricentro G)</t>
  </si>
  <si>
    <r>
      <t>[mm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]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</si>
  <si>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xx,i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</si>
  <si>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yy,i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</si>
  <si>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xy,i</t>
    </r>
  </si>
  <si>
    <r>
      <t>I</t>
    </r>
    <r>
      <rPr>
        <vertAlign val="subscript"/>
        <sz val="11"/>
        <color theme="1"/>
        <rFont val="Calibri"/>
        <family val="2"/>
        <scheme val="minor"/>
      </rPr>
      <t>xx</t>
    </r>
  </si>
  <si>
    <r>
      <t>I</t>
    </r>
    <r>
      <rPr>
        <vertAlign val="subscript"/>
        <sz val="11"/>
        <color theme="1"/>
        <rFont val="Calibri"/>
        <family val="2"/>
        <scheme val="minor"/>
      </rPr>
      <t>yy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</si>
  <si>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</si>
  <si>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t>Equazione e tracciamento asse neutro</t>
  </si>
  <si>
    <t>Mx</t>
  </si>
  <si>
    <t>My</t>
  </si>
  <si>
    <t>N</t>
  </si>
  <si>
    <t>Nmm</t>
  </si>
  <si>
    <t>y</t>
  </si>
  <si>
    <t>Punto</t>
  </si>
  <si>
    <t>x</t>
  </si>
  <si>
    <t>y [mm]</t>
  </si>
  <si>
    <t>x [mm]</t>
  </si>
  <si>
    <t>sig. [MPa]</t>
  </si>
  <si>
    <t>ogni</t>
  </si>
  <si>
    <t>B</t>
  </si>
  <si>
    <t>Dato lo schema strutturale di figura calcolare il massimo e minimo valore dello sforzo normale in corrispondeza della sezione A e della sezione B</t>
  </si>
  <si>
    <t>Sezione A</t>
  </si>
  <si>
    <t>sigma</t>
  </si>
  <si>
    <t>MPa</t>
  </si>
  <si>
    <t xml:space="preserve"> x + </t>
  </si>
  <si>
    <t>a-a</t>
  </si>
  <si>
    <t>b-b</t>
  </si>
  <si>
    <t>LM</t>
  </si>
  <si>
    <t>La sezione di trave in figura è soggetta ad un carico assiale di compressione con intensità 10kN agente in corrispondenza del punto P. Calcolare i massimi e minimi sforzi normali nella sezione.</t>
  </si>
  <si>
    <t>xP</t>
  </si>
  <si>
    <t>yP</t>
  </si>
  <si>
    <t>Sezione B</t>
  </si>
  <si>
    <t>M trave</t>
  </si>
  <si>
    <t>La sezione di trave in figura è soggetta appartiene ad una trave in semplice appoggio con luce 5m e soggetta ad un carico distribuito uniforme di 0,75kN/m oltre che ad un'azione di trazione di intensità 200kN. La sezione di trave è installata con un angolo di incliazione di 15° orari rispetto all'orizzontale. Calcolare nella sezione di mezzeria gli sforzi normali massimi e minimi.</t>
  </si>
  <si>
    <t>Analisi della situazione di progetto</t>
  </si>
  <si>
    <t>Calcolo delle azioni alla base del pilastro</t>
  </si>
  <si>
    <t>Azione</t>
  </si>
  <si>
    <t>Modulo [kN]</t>
  </si>
  <si>
    <t>(peso proprio pilastro)</t>
  </si>
  <si>
    <t>(componete vericale spinta arco)</t>
  </si>
  <si>
    <t>|Ecc.| [mm]</t>
  </si>
  <si>
    <t>(componete orizzontale spinta arco)</t>
  </si>
  <si>
    <t>(positivo in base alla convenzione sull'asse y)</t>
  </si>
  <si>
    <t>Calcolo dello sforzo nell'ipotesi di sezione totalmente reagente</t>
  </si>
  <si>
    <t>Iy</t>
  </si>
  <si>
    <t>mm4</t>
  </si>
  <si>
    <t>mm2</t>
  </si>
  <si>
    <t>sigma [MPa]</t>
  </si>
  <si>
    <t>Nell'ipotesi di sezione totalmente reagente ottengo uno sforzo di trazione, non ammissibile per il materiale</t>
  </si>
  <si>
    <t>&gt;&gt;&gt;&gt; la sezione si parzializza!</t>
  </si>
  <si>
    <t>ex</t>
  </si>
  <si>
    <t>(eccentricità rispetto all'asse x in modulo)</t>
  </si>
  <si>
    <t>(sforzo di compressione ipotesi sezione parzializzata)</t>
  </si>
  <si>
    <t>d</t>
  </si>
  <si>
    <t>(profondità reagente)</t>
  </si>
  <si>
    <t>Calcolo dello sforzo nell'ipotesi di sezione parzializzata</t>
  </si>
  <si>
    <t>Calcolo della zavorra</t>
  </si>
  <si>
    <t>Per calcolare la zavorra dobbiamo fare in modo di aggiungere un carico assiale centrato tale che lo sforzo nel lembo a x=-400m risulti nullo</t>
  </si>
  <si>
    <t>Ntot</t>
  </si>
  <si>
    <t>Naggiunto</t>
  </si>
  <si>
    <t>Con il nuovo carico totale lo stato di sforzo nel materiale risulta:</t>
  </si>
  <si>
    <r>
      <t>Un pilastro in granito (peso specifico 27kN/m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), le cui dimensioni sono riportate in figura, è chiamato a sorreggere un arco in pietra che esercita su di esso una forza di 30kN con inclinazione 60°. Si chiede di valutare lo stato di sforzo in questa condizione e di valutare l'entita di una zavorra in sommità per rendere la sezione totalmente reagente.</t>
    </r>
  </si>
  <si>
    <t>y=</t>
  </si>
  <si>
    <t>xxx</t>
  </si>
  <si>
    <t>Cerc. Dx</t>
  </si>
  <si>
    <t>Cerc. Cn.</t>
  </si>
  <si>
    <t>Cerc. Sx</t>
  </si>
  <si>
    <t>Rett.</t>
  </si>
  <si>
    <r>
      <t>B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o R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</si>
  <si>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Si consideri una trave a cassone soggetta ad un momento flettente di 17kNm inclinato di 35° come da figura.</t>
  </si>
  <si>
    <t>ESERCIZIO 1: PROFILO COMPATTO SOGGETTO A FLESSIONE DEVIATA</t>
  </si>
  <si>
    <t>ESERCIZIO 2: PROFILO SOTTILE SOGGETTO A PRESSOFLESSIONE RETTA</t>
  </si>
  <si>
    <t>ESERCIZIO 3: PROFILO COMPATTO SOGGETTO A CARICO ASSIALE ECCENTRICO</t>
  </si>
  <si>
    <t>ESERCIZIO 4: PROFILO COMPATTO SOGGETTO A TENSOFLESSIONE DEVIATA</t>
  </si>
  <si>
    <t>ESERCIZIO 5: ELEMENTO IN MATERIALE NON REAGENTE A 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</si>
</sst>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2060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ck">
        <color rgb="FF002060"/>
      </right>
      <top/>
      <bottom style="thin">
        <color indexed="64"/>
      </bottom>
      <diagonal/>
    </border>
    <border>
      <left style="thick">
        <color rgb="FF002060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ck">
        <color rgb="FF002060"/>
      </right>
      <top/>
      <bottom style="thick">
        <color rgb="FF00206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vertical="justify"/>
    </xf>
    <xf numFmtId="165" fontId="0" fillId="0" borderId="0" xfId="0" applyNumberFormat="1"/>
    <xf numFmtId="0" fontId="0" fillId="0" borderId="0" xfId="0" applyAlignment="1">
      <alignment vertical="justify" wrapText="1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8" fillId="0" borderId="0" xfId="0" applyFont="1"/>
    <xf numFmtId="3" fontId="0" fillId="0" borderId="0" xfId="0" applyNumberFormat="1"/>
    <xf numFmtId="11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vertical="justify" wrapText="1"/>
    </xf>
    <xf numFmtId="0" fontId="0" fillId="0" borderId="0" xfId="0" applyAlignment="1">
      <alignment vertical="justify" wrapText="1"/>
    </xf>
    <xf numFmtId="0" fontId="0" fillId="0" borderId="0" xfId="0" applyAlignment="1">
      <alignment vertical="justify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400669</xdr:colOff>
      <xdr:row>6</xdr:row>
      <xdr:rowOff>64385</xdr:rowOff>
    </xdr:from>
    <xdr:ext cx="3539799" cy="2006855"/>
    <xdr:pic>
      <xdr:nvPicPr>
        <xdr:cNvPr id="2" name="Immagine 1">
          <a:extLst>
            <a:ext uri="{FF2B5EF4-FFF2-40B4-BE49-F238E27FC236}">
              <a16:creationId xmlns:a16="http://schemas.microsoft.com/office/drawing/2014/main" id="{66641E9B-9465-4865-BA01-C6002026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0669" y="1207385"/>
          <a:ext cx="3539799" cy="200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496490</xdr:colOff>
      <xdr:row>30</xdr:row>
      <xdr:rowOff>50006</xdr:rowOff>
    </xdr:from>
    <xdr:ext cx="1040670" cy="3463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19F884D3-B558-4844-8F31-EC5AA891A94B}"/>
                </a:ext>
              </a:extLst>
            </xdr:cNvPr>
            <xdr:cNvSpPr txBox="1"/>
          </xdr:nvSpPr>
          <xdr:spPr>
            <a:xfrm>
              <a:off x="2934890" y="57650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19F884D3-B558-4844-8F31-EC5AA891A94B}"/>
                </a:ext>
              </a:extLst>
            </xdr:cNvPr>
            <xdr:cNvSpPr txBox="1"/>
          </xdr:nvSpPr>
          <xdr:spPr>
            <a:xfrm>
              <a:off x="2934890" y="57650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30</xdr:row>
      <xdr:rowOff>47625</xdr:rowOff>
    </xdr:from>
    <xdr:ext cx="1040670" cy="34637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139A1FE8-7CC4-4301-9010-D3D964D83C4E}"/>
                </a:ext>
              </a:extLst>
            </xdr:cNvPr>
            <xdr:cNvSpPr txBox="1"/>
          </xdr:nvSpPr>
          <xdr:spPr>
            <a:xfrm>
              <a:off x="4181475" y="57626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139A1FE8-7CC4-4301-9010-D3D964D83C4E}"/>
                </a:ext>
              </a:extLst>
            </xdr:cNvPr>
            <xdr:cNvSpPr txBox="1"/>
          </xdr:nvSpPr>
          <xdr:spPr>
            <a:xfrm>
              <a:off x="4181475" y="57626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34</xdr:row>
      <xdr:rowOff>39015</xdr:rowOff>
    </xdr:from>
    <xdr:ext cx="569515" cy="3235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A97DED7C-BB6E-431B-AF33-CBF2F951EDEE}"/>
                </a:ext>
              </a:extLst>
            </xdr:cNvPr>
            <xdr:cNvSpPr txBox="1"/>
          </xdr:nvSpPr>
          <xdr:spPr>
            <a:xfrm>
              <a:off x="3002575" y="65160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A97DED7C-BB6E-431B-AF33-CBF2F951EDEE}"/>
                </a:ext>
              </a:extLst>
            </xdr:cNvPr>
            <xdr:cNvSpPr txBox="1"/>
          </xdr:nvSpPr>
          <xdr:spPr>
            <a:xfrm>
              <a:off x="3002575" y="65160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34</xdr:row>
      <xdr:rowOff>36635</xdr:rowOff>
    </xdr:from>
    <xdr:ext cx="580415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164BFE14-6544-462B-8DB0-51867BF0070F}"/>
                </a:ext>
              </a:extLst>
            </xdr:cNvPr>
            <xdr:cNvSpPr txBox="1"/>
          </xdr:nvSpPr>
          <xdr:spPr>
            <a:xfrm>
              <a:off x="3884734" y="65136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164BFE14-6544-462B-8DB0-51867BF0070F}"/>
                </a:ext>
              </a:extLst>
            </xdr:cNvPr>
            <xdr:cNvSpPr txBox="1"/>
          </xdr:nvSpPr>
          <xdr:spPr>
            <a:xfrm>
              <a:off x="3884734" y="65136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38</xdr:row>
      <xdr:rowOff>117231</xdr:rowOff>
    </xdr:from>
    <xdr:ext cx="2104166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40808B93-6B2D-4A49-BCE3-A136CD5CAB4E}"/>
                </a:ext>
              </a:extLst>
            </xdr:cNvPr>
            <xdr:cNvSpPr txBox="1"/>
          </xdr:nvSpPr>
          <xdr:spPr>
            <a:xfrm>
              <a:off x="117231" y="73562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40808B93-6B2D-4A49-BCE3-A136CD5CAB4E}"/>
                </a:ext>
              </a:extLst>
            </xdr:cNvPr>
            <xdr:cNvSpPr txBox="1"/>
          </xdr:nvSpPr>
          <xdr:spPr>
            <a:xfrm>
              <a:off x="117231" y="73562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40</xdr:row>
      <xdr:rowOff>131884</xdr:rowOff>
    </xdr:from>
    <xdr:ext cx="2063706" cy="316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3199F0D9-1C0E-4BA6-8CB5-CE4794F244DB}"/>
                </a:ext>
              </a:extLst>
            </xdr:cNvPr>
            <xdr:cNvSpPr txBox="1"/>
          </xdr:nvSpPr>
          <xdr:spPr>
            <a:xfrm>
              <a:off x="117230" y="77518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3199F0D9-1C0E-4BA6-8CB5-CE4794F244DB}"/>
                </a:ext>
              </a:extLst>
            </xdr:cNvPr>
            <xdr:cNvSpPr txBox="1"/>
          </xdr:nvSpPr>
          <xdr:spPr>
            <a:xfrm>
              <a:off x="117230" y="77518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39</xdr:row>
      <xdr:rowOff>139212</xdr:rowOff>
    </xdr:from>
    <xdr:ext cx="1841210" cy="18293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BF1B963F-6D40-42BD-872A-75BECD02ABBA}"/>
                </a:ext>
              </a:extLst>
            </xdr:cNvPr>
            <xdr:cNvSpPr txBox="1"/>
          </xdr:nvSpPr>
          <xdr:spPr>
            <a:xfrm>
              <a:off x="2422281" y="75687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BF1B963F-6D40-42BD-872A-75BECD02ABBA}"/>
                </a:ext>
              </a:extLst>
            </xdr:cNvPr>
            <xdr:cNvSpPr txBox="1"/>
          </xdr:nvSpPr>
          <xdr:spPr>
            <a:xfrm>
              <a:off x="2422281" y="75687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146558</xdr:colOff>
      <xdr:row>54</xdr:row>
      <xdr:rowOff>86619</xdr:rowOff>
    </xdr:from>
    <xdr:ext cx="1095556" cy="3689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42E39735-F067-401B-9327-E8B5C2E9C659}"/>
                </a:ext>
              </a:extLst>
            </xdr:cNvPr>
            <xdr:cNvSpPr txBox="1"/>
          </xdr:nvSpPr>
          <xdr:spPr>
            <a:xfrm>
              <a:off x="2584958" y="10373619"/>
              <a:ext cx="1095556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42E39735-F067-401B-9327-E8B5C2E9C659}"/>
                </a:ext>
              </a:extLst>
            </xdr:cNvPr>
            <xdr:cNvSpPr txBox="1"/>
          </xdr:nvSpPr>
          <xdr:spPr>
            <a:xfrm>
              <a:off x="2584958" y="10373619"/>
              <a:ext cx="1095556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it-IT" sz="1100" b="0" i="0">
                  <a:latin typeface="Cambria Math" panose="02040503050406030204" pitchFamily="18" charset="0"/>
                </a:rPr>
                <a:t>𝑧=𝑀_𝑥/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𝐼_𝑥  </a:t>
              </a:r>
              <a:r>
                <a:rPr lang="it-IT" sz="1100" b="0" i="0">
                  <a:latin typeface="Cambria Math" panose="02040503050406030204" pitchFamily="18" charset="0"/>
                </a:rPr>
                <a:t>𝑦−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𝑀_𝑦/𝐼_𝑦  𝑥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350921</xdr:colOff>
      <xdr:row>57</xdr:row>
      <xdr:rowOff>25066</xdr:rowOff>
    </xdr:from>
    <xdr:ext cx="727507" cy="3689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4020C122-E822-4CFC-A75F-30B66E0B91DE}"/>
                </a:ext>
              </a:extLst>
            </xdr:cNvPr>
            <xdr:cNvSpPr txBox="1"/>
          </xdr:nvSpPr>
          <xdr:spPr>
            <a:xfrm>
              <a:off x="2789321" y="10883566"/>
              <a:ext cx="727507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11" name="CasellaDiTesto 10">
              <a:extLst>
                <a:ext uri="{FF2B5EF4-FFF2-40B4-BE49-F238E27FC236}">
                  <a16:creationId xmlns:a16="http://schemas.microsoft.com/office/drawing/2014/main" id="{4020C122-E822-4CFC-A75F-30B66E0B91DE}"/>
                </a:ext>
              </a:extLst>
            </xdr:cNvPr>
            <xdr:cNvSpPr txBox="1"/>
          </xdr:nvSpPr>
          <xdr:spPr>
            <a:xfrm>
              <a:off x="2789321" y="10883566"/>
              <a:ext cx="727507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𝑦=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𝑀_𝑦/𝑀_𝑥   𝐼_𝑥/𝐼_𝑦  𝑥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5</xdr:col>
      <xdr:colOff>611605</xdr:colOff>
      <xdr:row>50</xdr:row>
      <xdr:rowOff>0</xdr:rowOff>
    </xdr:from>
    <xdr:ext cx="897810" cy="3379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896EFB7E-6266-47B4-869C-7405CA668835}"/>
                </a:ext>
              </a:extLst>
            </xdr:cNvPr>
            <xdr:cNvSpPr txBox="1"/>
          </xdr:nvSpPr>
          <xdr:spPr>
            <a:xfrm>
              <a:off x="3659605" y="9525000"/>
              <a:ext cx="897810" cy="3379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𝑐𝑒𝑟𝑐h𝑖𝑜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p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4</m:t>
                            </m:r>
                          </m:sup>
                        </m:sSup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64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896EFB7E-6266-47B4-869C-7405CA668835}"/>
                </a:ext>
              </a:extLst>
            </xdr:cNvPr>
            <xdr:cNvSpPr txBox="1"/>
          </xdr:nvSpPr>
          <xdr:spPr>
            <a:xfrm>
              <a:off x="3659605" y="9525000"/>
              <a:ext cx="897810" cy="3379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𝐼_𝑐𝑒𝑟𝑐ℎ𝑖𝑜=(𝐷^4</a:t>
              </a:r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𝜋)/</a:t>
              </a:r>
              <a:r>
                <a:rPr lang="it-IT" sz="1100" b="0" i="0">
                  <a:latin typeface="Cambria Math" panose="02040503050406030204" pitchFamily="18" charset="0"/>
                </a:rPr>
                <a:t>64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330181</xdr:colOff>
      <xdr:row>69</xdr:row>
      <xdr:rowOff>184547</xdr:rowOff>
    </xdr:from>
    <xdr:ext cx="3531898" cy="2006855"/>
    <xdr:pic>
      <xdr:nvPicPr>
        <xdr:cNvPr id="13" name="Immagine 12">
          <a:extLst>
            <a:ext uri="{FF2B5EF4-FFF2-40B4-BE49-F238E27FC236}">
              <a16:creationId xmlns:a16="http://schemas.microsoft.com/office/drawing/2014/main" id="{4A6293A6-068E-4F32-96D6-CE159C5C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0181" y="13329047"/>
          <a:ext cx="3531898" cy="200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53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5F44C1D4-254C-45DB-A191-F36B086EC94D}"/>
                </a:ext>
              </a:extLst>
            </xdr:cNvPr>
            <xdr:cNvSpPr txBox="1"/>
          </xdr:nvSpPr>
          <xdr:spPr>
            <a:xfrm>
              <a:off x="3115865" y="795575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5F44C1D4-254C-45DB-A191-F36B086EC94D}"/>
                </a:ext>
              </a:extLst>
            </xdr:cNvPr>
            <xdr:cNvSpPr txBox="1"/>
          </xdr:nvSpPr>
          <xdr:spPr>
            <a:xfrm>
              <a:off x="3115865" y="795575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53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A7C9384E-C49D-435E-9EDE-0856CAD22EDC}"/>
                </a:ext>
              </a:extLst>
            </xdr:cNvPr>
            <xdr:cNvSpPr txBox="1"/>
          </xdr:nvSpPr>
          <xdr:spPr>
            <a:xfrm>
              <a:off x="4362450" y="795337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A7C9384E-C49D-435E-9EDE-0856CAD22EDC}"/>
                </a:ext>
              </a:extLst>
            </xdr:cNvPr>
            <xdr:cNvSpPr txBox="1"/>
          </xdr:nvSpPr>
          <xdr:spPr>
            <a:xfrm>
              <a:off x="4362450" y="795337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57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42BF690E-11A3-43B2-B22F-D1691C8AAA41}"/>
                </a:ext>
              </a:extLst>
            </xdr:cNvPr>
            <xdr:cNvSpPr txBox="1"/>
          </xdr:nvSpPr>
          <xdr:spPr>
            <a:xfrm>
              <a:off x="3183550" y="87639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42BF690E-11A3-43B2-B22F-D1691C8AAA41}"/>
                </a:ext>
              </a:extLst>
            </xdr:cNvPr>
            <xdr:cNvSpPr txBox="1"/>
          </xdr:nvSpPr>
          <xdr:spPr>
            <a:xfrm>
              <a:off x="3183550" y="876391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57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2768D015-2A3C-480E-8649-C960D2FC4E98}"/>
                </a:ext>
              </a:extLst>
            </xdr:cNvPr>
            <xdr:cNvSpPr txBox="1"/>
          </xdr:nvSpPr>
          <xdr:spPr>
            <a:xfrm>
              <a:off x="4065709" y="87615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2768D015-2A3C-480E-8649-C960D2FC4E98}"/>
                </a:ext>
              </a:extLst>
            </xdr:cNvPr>
            <xdr:cNvSpPr txBox="1"/>
          </xdr:nvSpPr>
          <xdr:spPr>
            <a:xfrm>
              <a:off x="4065709" y="876153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61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11657E47-7524-4FB1-978A-048F476C1C6E}"/>
                </a:ext>
              </a:extLst>
            </xdr:cNvPr>
            <xdr:cNvSpPr txBox="1"/>
          </xdr:nvSpPr>
          <xdr:spPr>
            <a:xfrm>
              <a:off x="117231" y="96041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11657E47-7524-4FB1-978A-048F476C1C6E}"/>
                </a:ext>
              </a:extLst>
            </xdr:cNvPr>
            <xdr:cNvSpPr txBox="1"/>
          </xdr:nvSpPr>
          <xdr:spPr>
            <a:xfrm>
              <a:off x="117231" y="960413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63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45D5F44F-534E-4518-AAA3-B513F1EBE502}"/>
                </a:ext>
              </a:extLst>
            </xdr:cNvPr>
            <xdr:cNvSpPr txBox="1"/>
          </xdr:nvSpPr>
          <xdr:spPr>
            <a:xfrm>
              <a:off x="117230" y="99997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45D5F44F-534E-4518-AAA3-B513F1EBE502}"/>
                </a:ext>
              </a:extLst>
            </xdr:cNvPr>
            <xdr:cNvSpPr txBox="1"/>
          </xdr:nvSpPr>
          <xdr:spPr>
            <a:xfrm>
              <a:off x="117230" y="999978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62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78F362A7-6D09-46F6-A1F9-6A27D6DBF410}"/>
                </a:ext>
              </a:extLst>
            </xdr:cNvPr>
            <xdr:cNvSpPr txBox="1"/>
          </xdr:nvSpPr>
          <xdr:spPr>
            <a:xfrm>
              <a:off x="2603256" y="98166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78F362A7-6D09-46F6-A1F9-6A27D6DBF410}"/>
                </a:ext>
              </a:extLst>
            </xdr:cNvPr>
            <xdr:cNvSpPr txBox="1"/>
          </xdr:nvSpPr>
          <xdr:spPr>
            <a:xfrm>
              <a:off x="2603256" y="981661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104886</xdr:colOff>
      <xdr:row>82</xdr:row>
      <xdr:rowOff>122337</xdr:rowOff>
    </xdr:from>
    <xdr:ext cx="1391343" cy="3801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asellaDiTesto 16">
              <a:extLst>
                <a:ext uri="{FF2B5EF4-FFF2-40B4-BE49-F238E27FC236}">
                  <a16:creationId xmlns:a16="http://schemas.microsoft.com/office/drawing/2014/main" id="{BCB7CDBC-1C5E-2742-9DD8-CACE44CD2260}"/>
                </a:ext>
              </a:extLst>
            </xdr:cNvPr>
            <xdr:cNvSpPr txBox="1"/>
          </xdr:nvSpPr>
          <xdr:spPr>
            <a:xfrm>
              <a:off x="2759980" y="16886337"/>
              <a:ext cx="1391343" cy="38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7" name="CasellaDiTesto 16">
              <a:extLst>
                <a:ext uri="{FF2B5EF4-FFF2-40B4-BE49-F238E27FC236}">
                  <a16:creationId xmlns:a16="http://schemas.microsoft.com/office/drawing/2014/main" id="{BCB7CDBC-1C5E-2742-9DD8-CACE44CD2260}"/>
                </a:ext>
              </a:extLst>
            </xdr:cNvPr>
            <xdr:cNvSpPr txBox="1"/>
          </xdr:nvSpPr>
          <xdr:spPr>
            <a:xfrm>
              <a:off x="2759980" y="16886337"/>
              <a:ext cx="1391343" cy="38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it-IT" sz="1100" b="0" i="0">
                  <a:latin typeface="Cambria Math" panose="02040503050406030204" pitchFamily="18" charset="0"/>
                </a:rPr>
                <a:t>𝑧=𝑁/𝐴+𝑀_𝑥/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𝐼_𝑥  </a:t>
              </a:r>
              <a:r>
                <a:rPr lang="it-IT" sz="1100" b="0" i="0">
                  <a:latin typeface="Cambria Math" panose="02040503050406030204" pitchFamily="18" charset="0"/>
                </a:rPr>
                <a:t>𝑦−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𝑀_𝑦/𝐼_𝑦  𝑥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136608</xdr:colOff>
      <xdr:row>85</xdr:row>
      <xdr:rowOff>7206</xdr:rowOff>
    </xdr:from>
    <xdr:ext cx="1246430" cy="368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asellaDiTesto 17">
              <a:extLst>
                <a:ext uri="{FF2B5EF4-FFF2-40B4-BE49-F238E27FC236}">
                  <a16:creationId xmlns:a16="http://schemas.microsoft.com/office/drawing/2014/main" id="{2D54229B-5033-4C63-8D0A-F11BFA1BEF32}"/>
                </a:ext>
              </a:extLst>
            </xdr:cNvPr>
            <xdr:cNvSpPr txBox="1"/>
          </xdr:nvSpPr>
          <xdr:spPr>
            <a:xfrm>
              <a:off x="2791702" y="17342706"/>
              <a:ext cx="1246430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𝑁</m:t>
                        </m:r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8" name="CasellaDiTesto 17">
              <a:extLst>
                <a:ext uri="{FF2B5EF4-FFF2-40B4-BE49-F238E27FC236}">
                  <a16:creationId xmlns:a16="http://schemas.microsoft.com/office/drawing/2014/main" id="{2D54229B-5033-4C63-8D0A-F11BFA1BEF32}"/>
                </a:ext>
              </a:extLst>
            </xdr:cNvPr>
            <xdr:cNvSpPr txBox="1"/>
          </xdr:nvSpPr>
          <xdr:spPr>
            <a:xfrm>
              <a:off x="2791702" y="17342706"/>
              <a:ext cx="1246430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𝑦=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𝑀_𝑦/𝑀_𝑥   𝐼_𝑥/𝐼_𝑦  𝑥−𝑁/𝐴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𝐼_𝑥/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192023</xdr:colOff>
      <xdr:row>98</xdr:row>
      <xdr:rowOff>154363</xdr:rowOff>
    </xdr:from>
    <xdr:to>
      <xdr:col>4</xdr:col>
      <xdr:colOff>362195</xdr:colOff>
      <xdr:row>114</xdr:row>
      <xdr:rowOff>56028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CF985B50-F47A-49E2-AD48-B87527F29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2023" y="19148334"/>
          <a:ext cx="2825966" cy="294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131584</xdr:colOff>
      <xdr:row>4</xdr:row>
      <xdr:rowOff>104001</xdr:rowOff>
    </xdr:from>
    <xdr:to>
      <xdr:col>7</xdr:col>
      <xdr:colOff>761476</xdr:colOff>
      <xdr:row>18</xdr:row>
      <xdr:rowOff>17438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2E450662-42B8-9F8B-8D6B-21722F781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584" y="883860"/>
          <a:ext cx="5541220" cy="2580437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19</xdr:row>
      <xdr:rowOff>28575</xdr:rowOff>
    </xdr:from>
    <xdr:to>
      <xdr:col>5</xdr:col>
      <xdr:colOff>168088</xdr:colOff>
      <xdr:row>41</xdr:row>
      <xdr:rowOff>71807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41A905A-DA1F-3DFC-5F18-4A49BD463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642" y="3670487"/>
          <a:ext cx="2982446" cy="4234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35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A8819454-E0B4-43BD-8A56-669C665BC31C}"/>
                </a:ext>
              </a:extLst>
            </xdr:cNvPr>
            <xdr:cNvSpPr txBox="1"/>
          </xdr:nvSpPr>
          <xdr:spPr>
            <a:xfrm>
              <a:off x="3153965" y="72128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A8819454-E0B4-43BD-8A56-669C665BC31C}"/>
                </a:ext>
              </a:extLst>
            </xdr:cNvPr>
            <xdr:cNvSpPr txBox="1"/>
          </xdr:nvSpPr>
          <xdr:spPr>
            <a:xfrm>
              <a:off x="3153965" y="7212806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35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9371A19A-1F7F-4E41-BFD9-B2A8BCA57945}"/>
                </a:ext>
              </a:extLst>
            </xdr:cNvPr>
            <xdr:cNvSpPr txBox="1"/>
          </xdr:nvSpPr>
          <xdr:spPr>
            <a:xfrm>
              <a:off x="4400550" y="72104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9371A19A-1F7F-4E41-BFD9-B2A8BCA57945}"/>
                </a:ext>
              </a:extLst>
            </xdr:cNvPr>
            <xdr:cNvSpPr txBox="1"/>
          </xdr:nvSpPr>
          <xdr:spPr>
            <a:xfrm>
              <a:off x="4400550" y="7210425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39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0517B83F-22B2-41D7-BF7A-872EF3D2DCB6}"/>
                </a:ext>
              </a:extLst>
            </xdr:cNvPr>
            <xdr:cNvSpPr txBox="1"/>
          </xdr:nvSpPr>
          <xdr:spPr>
            <a:xfrm>
              <a:off x="3221650" y="802096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0517B83F-22B2-41D7-BF7A-872EF3D2DCB6}"/>
                </a:ext>
              </a:extLst>
            </xdr:cNvPr>
            <xdr:cNvSpPr txBox="1"/>
          </xdr:nvSpPr>
          <xdr:spPr>
            <a:xfrm>
              <a:off x="3221650" y="8020965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39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F909EE42-7FD8-4F85-B55E-51B6AD75EDAD}"/>
                </a:ext>
              </a:extLst>
            </xdr:cNvPr>
            <xdr:cNvSpPr txBox="1"/>
          </xdr:nvSpPr>
          <xdr:spPr>
            <a:xfrm>
              <a:off x="4103809" y="801858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F909EE42-7FD8-4F85-B55E-51B6AD75EDAD}"/>
                </a:ext>
              </a:extLst>
            </xdr:cNvPr>
            <xdr:cNvSpPr txBox="1"/>
          </xdr:nvSpPr>
          <xdr:spPr>
            <a:xfrm>
              <a:off x="4103809" y="8018585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43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A57C005F-32DC-4D79-B9F4-C0CE8779AF33}"/>
                </a:ext>
              </a:extLst>
            </xdr:cNvPr>
            <xdr:cNvSpPr txBox="1"/>
          </xdr:nvSpPr>
          <xdr:spPr>
            <a:xfrm>
              <a:off x="117231" y="886118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A57C005F-32DC-4D79-B9F4-C0CE8779AF33}"/>
                </a:ext>
              </a:extLst>
            </xdr:cNvPr>
            <xdr:cNvSpPr txBox="1"/>
          </xdr:nvSpPr>
          <xdr:spPr>
            <a:xfrm>
              <a:off x="117231" y="8861181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45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A518FFF6-8C3E-4AC5-B657-9B31CDFC3CE4}"/>
                </a:ext>
              </a:extLst>
            </xdr:cNvPr>
            <xdr:cNvSpPr txBox="1"/>
          </xdr:nvSpPr>
          <xdr:spPr>
            <a:xfrm>
              <a:off x="117230" y="925683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9" name="CasellaDiTesto 8">
              <a:extLst>
                <a:ext uri="{FF2B5EF4-FFF2-40B4-BE49-F238E27FC236}">
                  <a16:creationId xmlns:a16="http://schemas.microsoft.com/office/drawing/2014/main" id="{A518FFF6-8C3E-4AC5-B657-9B31CDFC3CE4}"/>
                </a:ext>
              </a:extLst>
            </xdr:cNvPr>
            <xdr:cNvSpPr txBox="1"/>
          </xdr:nvSpPr>
          <xdr:spPr>
            <a:xfrm>
              <a:off x="117230" y="9256834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44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510FFB62-075C-40C9-BD8A-8E225A6E693B}"/>
                </a:ext>
              </a:extLst>
            </xdr:cNvPr>
            <xdr:cNvSpPr txBox="1"/>
          </xdr:nvSpPr>
          <xdr:spPr>
            <a:xfrm>
              <a:off x="2603256" y="907366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0" name="CasellaDiTesto 9">
              <a:extLst>
                <a:ext uri="{FF2B5EF4-FFF2-40B4-BE49-F238E27FC236}">
                  <a16:creationId xmlns:a16="http://schemas.microsoft.com/office/drawing/2014/main" id="{510FFB62-075C-40C9-BD8A-8E225A6E693B}"/>
                </a:ext>
              </a:extLst>
            </xdr:cNvPr>
            <xdr:cNvSpPr txBox="1"/>
          </xdr:nvSpPr>
          <xdr:spPr>
            <a:xfrm>
              <a:off x="2603256" y="9073662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57150</xdr:colOff>
      <xdr:row>6</xdr:row>
      <xdr:rowOff>19051</xdr:rowOff>
    </xdr:from>
    <xdr:to>
      <xdr:col>3</xdr:col>
      <xdr:colOff>567375</xdr:colOff>
      <xdr:row>21</xdr:row>
      <xdr:rowOff>25059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3A93DA94-DED4-1861-7587-88C58FF07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343026"/>
          <a:ext cx="2520000" cy="2863508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6</xdr:row>
      <xdr:rowOff>28575</xdr:rowOff>
    </xdr:from>
    <xdr:to>
      <xdr:col>7</xdr:col>
      <xdr:colOff>329250</xdr:colOff>
      <xdr:row>22</xdr:row>
      <xdr:rowOff>86229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F9841CCF-94B0-018A-19EB-2F5A9903A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1352550"/>
          <a:ext cx="2520000" cy="3105654"/>
        </a:xfrm>
        <a:prstGeom prst="rect">
          <a:avLst/>
        </a:prstGeom>
      </xdr:spPr>
    </xdr:pic>
    <xdr:clientData/>
  </xdr:twoCellAnchor>
  <xdr:oneCellAnchor>
    <xdr:from>
      <xdr:col>3</xdr:col>
      <xdr:colOff>447675</xdr:colOff>
      <xdr:row>64</xdr:row>
      <xdr:rowOff>4762</xdr:rowOff>
    </xdr:from>
    <xdr:ext cx="839845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asellaDiTesto 17">
              <a:extLst>
                <a:ext uri="{FF2B5EF4-FFF2-40B4-BE49-F238E27FC236}">
                  <a16:creationId xmlns:a16="http://schemas.microsoft.com/office/drawing/2014/main" id="{0A3B0354-05F2-E3CD-B271-DE9C224DDBC9}"/>
                </a:ext>
              </a:extLst>
            </xdr:cNvPr>
            <xdr:cNvSpPr txBox="1"/>
          </xdr:nvSpPr>
          <xdr:spPr>
            <a:xfrm>
              <a:off x="2457450" y="12730162"/>
              <a:ext cx="839845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𝑁</m:t>
                    </m:r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sub>
                    </m:sSub>
                  </m:oMath>
                </m:oMathPara>
              </a14:m>
              <a:endParaRPr lang="it-IT" sz="1100" b="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i="1">
                        <a:latin typeface="Cambria Math" panose="02040503050406030204" pitchFamily="18" charset="0"/>
                      </a:rPr>
                      <m:t>𝑀𝑦</m:t>
                    </m:r>
                    <m:r>
                      <a:rPr lang="it-IT" sz="1100" i="1">
                        <a:latin typeface="Cambria Math" panose="02040503050406030204" pitchFamily="18" charset="0"/>
                      </a:rPr>
                      <m:t>=− </m:t>
                    </m:r>
                    <m:r>
                      <a:rPr lang="it-IT" sz="1100" i="1">
                        <a:latin typeface="Cambria Math" panose="02040503050406030204" pitchFamily="18" charset="0"/>
                      </a:rPr>
                      <m:t>𝑁</m:t>
                    </m:r>
                    <m:r>
                      <a:rPr lang="it-IT" sz="1100" i="1" baseline="0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it-IT" sz="1100" i="1" baseline="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i="1" baseline="0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it-IT" sz="1100" i="1" baseline="0">
                            <a:latin typeface="Cambria Math" panose="02040503050406030204" pitchFamily="18" charset="0"/>
                          </a:rPr>
                          <m:t>𝑃</m:t>
                        </m:r>
                      </m:sub>
                    </m:sSub>
                  </m:oMath>
                </m:oMathPara>
              </a14:m>
              <a:endParaRPr lang="it-IT" sz="1100" baseline="0"/>
            </a:p>
          </xdr:txBody>
        </xdr:sp>
      </mc:Choice>
      <mc:Fallback xmlns="">
        <xdr:sp macro="" textlink="">
          <xdr:nvSpPr>
            <xdr:cNvPr id="18" name="CasellaDiTesto 17">
              <a:extLst>
                <a:ext uri="{FF2B5EF4-FFF2-40B4-BE49-F238E27FC236}">
                  <a16:creationId xmlns:a16="http://schemas.microsoft.com/office/drawing/2014/main" id="{0A3B0354-05F2-E3CD-B271-DE9C224DDBC9}"/>
                </a:ext>
              </a:extLst>
            </xdr:cNvPr>
            <xdr:cNvSpPr txBox="1"/>
          </xdr:nvSpPr>
          <xdr:spPr>
            <a:xfrm>
              <a:off x="2457450" y="12730162"/>
              <a:ext cx="839845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𝑀_𝑥=𝑁〖 𝑦〗_𝑃</a:t>
              </a:r>
              <a:endParaRPr lang="it-IT" sz="1100" b="0"/>
            </a:p>
            <a:p>
              <a:r>
                <a:rPr lang="it-IT" sz="1100" i="0">
                  <a:latin typeface="Cambria Math" panose="02040503050406030204" pitchFamily="18" charset="0"/>
                </a:rPr>
                <a:t>𝑀𝑦=</a:t>
              </a:r>
              <a:r>
                <a:rPr lang="it-IT" sz="1100" b="0" i="0">
                  <a:latin typeface="Cambria Math" panose="02040503050406030204" pitchFamily="18" charset="0"/>
                </a:rPr>
                <a:t>− </a:t>
              </a:r>
              <a:r>
                <a:rPr lang="it-IT" sz="1100" i="0">
                  <a:latin typeface="Cambria Math" panose="02040503050406030204" pitchFamily="18" charset="0"/>
                </a:rPr>
                <a:t>𝑁</a:t>
              </a:r>
              <a:r>
                <a:rPr lang="it-IT" sz="1100" i="0" baseline="0">
                  <a:latin typeface="Cambria Math" panose="02040503050406030204" pitchFamily="18" charset="0"/>
                </a:rPr>
                <a:t> 𝑥_𝑃</a:t>
              </a:r>
              <a:endParaRPr lang="it-IT" sz="1100" baseline="0"/>
            </a:p>
          </xdr:txBody>
        </xdr:sp>
      </mc:Fallback>
    </mc:AlternateContent>
    <xdr:clientData/>
  </xdr:oneCellAnchor>
  <xdr:oneCellAnchor>
    <xdr:from>
      <xdr:col>4</xdr:col>
      <xdr:colOff>457200</xdr:colOff>
      <xdr:row>69</xdr:row>
      <xdr:rowOff>19050</xdr:rowOff>
    </xdr:from>
    <xdr:ext cx="1391343" cy="3801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asellaDiTesto 18">
              <a:extLst>
                <a:ext uri="{FF2B5EF4-FFF2-40B4-BE49-F238E27FC236}">
                  <a16:creationId xmlns:a16="http://schemas.microsoft.com/office/drawing/2014/main" id="{CD0575A4-06A6-409A-979C-39425600908E}"/>
                </a:ext>
              </a:extLst>
            </xdr:cNvPr>
            <xdr:cNvSpPr txBox="1"/>
          </xdr:nvSpPr>
          <xdr:spPr>
            <a:xfrm>
              <a:off x="3114675" y="13696950"/>
              <a:ext cx="1391343" cy="38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9" name="CasellaDiTesto 18">
              <a:extLst>
                <a:ext uri="{FF2B5EF4-FFF2-40B4-BE49-F238E27FC236}">
                  <a16:creationId xmlns:a16="http://schemas.microsoft.com/office/drawing/2014/main" id="{CD0575A4-06A6-409A-979C-39425600908E}"/>
                </a:ext>
              </a:extLst>
            </xdr:cNvPr>
            <xdr:cNvSpPr txBox="1"/>
          </xdr:nvSpPr>
          <xdr:spPr>
            <a:xfrm>
              <a:off x="3114675" y="13696950"/>
              <a:ext cx="1391343" cy="38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it-IT" sz="1100" b="0" i="0">
                  <a:latin typeface="Cambria Math" panose="02040503050406030204" pitchFamily="18" charset="0"/>
                </a:rPr>
                <a:t>𝑧=𝑁/𝐴+𝑀_𝑥/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𝐼_𝑥  </a:t>
              </a:r>
              <a:r>
                <a:rPr lang="it-IT" sz="1100" b="0" i="0">
                  <a:latin typeface="Cambria Math" panose="02040503050406030204" pitchFamily="18" charset="0"/>
                </a:rPr>
                <a:t>𝑦−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𝑀_𝑦/𝐼_𝑦  𝑥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488922</xdr:colOff>
      <xdr:row>71</xdr:row>
      <xdr:rowOff>94419</xdr:rowOff>
    </xdr:from>
    <xdr:ext cx="1246430" cy="368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asellaDiTesto 19">
              <a:extLst>
                <a:ext uri="{FF2B5EF4-FFF2-40B4-BE49-F238E27FC236}">
                  <a16:creationId xmlns:a16="http://schemas.microsoft.com/office/drawing/2014/main" id="{07FE0E78-2F3A-4EA5-AC07-B9F55C75E99F}"/>
                </a:ext>
              </a:extLst>
            </xdr:cNvPr>
            <xdr:cNvSpPr txBox="1"/>
          </xdr:nvSpPr>
          <xdr:spPr>
            <a:xfrm>
              <a:off x="3146397" y="14153319"/>
              <a:ext cx="1246430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𝑁</m:t>
                        </m:r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0" name="CasellaDiTesto 19">
              <a:extLst>
                <a:ext uri="{FF2B5EF4-FFF2-40B4-BE49-F238E27FC236}">
                  <a16:creationId xmlns:a16="http://schemas.microsoft.com/office/drawing/2014/main" id="{07FE0E78-2F3A-4EA5-AC07-B9F55C75E99F}"/>
                </a:ext>
              </a:extLst>
            </xdr:cNvPr>
            <xdr:cNvSpPr txBox="1"/>
          </xdr:nvSpPr>
          <xdr:spPr>
            <a:xfrm>
              <a:off x="3146397" y="14153319"/>
              <a:ext cx="1246430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𝑦=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𝑀_𝑦/𝑀_𝑥   𝐼_𝑥/𝐼_𝑦  𝑥−𝑁/𝐴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𝐼_𝑥/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1</xdr:col>
      <xdr:colOff>106516</xdr:colOff>
      <xdr:row>78</xdr:row>
      <xdr:rowOff>2776</xdr:rowOff>
    </xdr:from>
    <xdr:to>
      <xdr:col>4</xdr:col>
      <xdr:colOff>537058</xdr:colOff>
      <xdr:row>94</xdr:row>
      <xdr:rowOff>54878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6058AE38-405D-47DE-AEB8-AB805A2C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6116" y="15395176"/>
          <a:ext cx="2478417" cy="31001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496490</xdr:colOff>
      <xdr:row>35</xdr:row>
      <xdr:rowOff>50006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8959443C-BC68-43F5-8613-A2D7E5B3F49D}"/>
                </a:ext>
              </a:extLst>
            </xdr:cNvPr>
            <xdr:cNvSpPr txBox="1"/>
          </xdr:nvSpPr>
          <xdr:spPr>
            <a:xfrm>
              <a:off x="3153965" y="6993731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8959443C-BC68-43F5-8613-A2D7E5B3F49D}"/>
                </a:ext>
              </a:extLst>
            </xdr:cNvPr>
            <xdr:cNvSpPr txBox="1"/>
          </xdr:nvSpPr>
          <xdr:spPr>
            <a:xfrm>
              <a:off x="3153965" y="6993731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𝑆_𝑥′=∑2_(𝑖=1)^3▒〖𝐴_𝑖 𝑦_𝑖′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523875</xdr:colOff>
      <xdr:row>35</xdr:row>
      <xdr:rowOff>47625</xdr:rowOff>
    </xdr:from>
    <xdr:ext cx="1040670" cy="346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27DFEE05-EAFA-4175-83EC-EA4215AC89BA}"/>
                </a:ext>
              </a:extLst>
            </xdr:cNvPr>
            <xdr:cNvSpPr txBox="1"/>
          </xdr:nvSpPr>
          <xdr:spPr>
            <a:xfrm>
              <a:off x="4457700" y="6991350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5"/>
                          </m:rP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27DFEE05-EAFA-4175-83EC-EA4215AC89BA}"/>
                </a:ext>
              </a:extLst>
            </xdr:cNvPr>
            <xdr:cNvSpPr txBox="1"/>
          </xdr:nvSpPr>
          <xdr:spPr>
            <a:xfrm>
              <a:off x="4457700" y="6991350"/>
              <a:ext cx="1040670" cy="3463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𝑆_𝑦′=∑2_(𝑖=1)^3▒〖𝐴_𝑖 𝑥_𝑖′ 〗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564175</xdr:colOff>
      <xdr:row>39</xdr:row>
      <xdr:rowOff>39015</xdr:rowOff>
    </xdr:from>
    <xdr:ext cx="569515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A98472A9-1ADA-47D2-BC17-1F5C48FECFC8}"/>
                </a:ext>
              </a:extLst>
            </xdr:cNvPr>
            <xdr:cNvSpPr txBox="1"/>
          </xdr:nvSpPr>
          <xdr:spPr>
            <a:xfrm>
              <a:off x="3221650" y="7801890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A98472A9-1ADA-47D2-BC17-1F5C48FECFC8}"/>
                </a:ext>
              </a:extLst>
            </xdr:cNvPr>
            <xdr:cNvSpPr txBox="1"/>
          </xdr:nvSpPr>
          <xdr:spPr>
            <a:xfrm>
              <a:off x="3221650" y="7801890"/>
              <a:ext cx="569515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〖𝑥′〗_𝐺=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𝑆_𝑦′/𝐴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227134</xdr:colOff>
      <xdr:row>39</xdr:row>
      <xdr:rowOff>36635</xdr:rowOff>
    </xdr:from>
    <xdr:ext cx="58041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454FA769-BC4A-4EA3-B7AD-B2448E667D39}"/>
                </a:ext>
              </a:extLst>
            </xdr:cNvPr>
            <xdr:cNvSpPr txBox="1"/>
          </xdr:nvSpPr>
          <xdr:spPr>
            <a:xfrm>
              <a:off x="4160959" y="7799510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′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sub>
                        </m:sSub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454FA769-BC4A-4EA3-B7AD-B2448E667D39}"/>
                </a:ext>
              </a:extLst>
            </xdr:cNvPr>
            <xdr:cNvSpPr txBox="1"/>
          </xdr:nvSpPr>
          <xdr:spPr>
            <a:xfrm>
              <a:off x="4160959" y="7799510"/>
              <a:ext cx="58041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〖𝑦′〗_𝐺=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𝑆_𝑥′/𝐴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117231</xdr:colOff>
      <xdr:row>43</xdr:row>
      <xdr:rowOff>117231</xdr:rowOff>
    </xdr:from>
    <xdr:ext cx="21041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4F00E58A-9C2F-4EB1-991A-2829661842CE}"/>
                </a:ext>
              </a:extLst>
            </xdr:cNvPr>
            <xdr:cNvSpPr txBox="1"/>
          </xdr:nvSpPr>
          <xdr:spPr>
            <a:xfrm>
              <a:off x="117231" y="8642106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6" name="CasellaDiTesto 5">
              <a:extLst>
                <a:ext uri="{FF2B5EF4-FFF2-40B4-BE49-F238E27FC236}">
                  <a16:creationId xmlns:a16="http://schemas.microsoft.com/office/drawing/2014/main" id="{4F00E58A-9C2F-4EB1-991A-2829661842CE}"/>
                </a:ext>
              </a:extLst>
            </xdr:cNvPr>
            <xdr:cNvSpPr txBox="1"/>
          </xdr:nvSpPr>
          <xdr:spPr>
            <a:xfrm>
              <a:off x="117231" y="8642106"/>
              <a:ext cx="21041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𝐼_(𝑥𝑥,𝑖)=1/12 〖𝐵_𝑖〗^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〖𝐻_𝑖〗^3+𝐴_𝑖 (〖𝑦′〗_𝑖−〖𝑦′〗_𝐺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0</xdr:col>
      <xdr:colOff>117230</xdr:colOff>
      <xdr:row>45</xdr:row>
      <xdr:rowOff>131884</xdr:rowOff>
    </xdr:from>
    <xdr:ext cx="206370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B8A4B8EE-5D53-4637-B16D-BCEAD4C28794}"/>
                </a:ext>
              </a:extLst>
            </xdr:cNvPr>
            <xdr:cNvSpPr txBox="1"/>
          </xdr:nvSpPr>
          <xdr:spPr>
            <a:xfrm>
              <a:off x="117230" y="9037759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sSup>
                      <m:sSup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  <m:sup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e>
                      <m:sup/>
                    </m:sSup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sSup>
                      <m:sSup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𝑥</m:t>
                                </m:r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7" name="CasellaDiTesto 6">
              <a:extLst>
                <a:ext uri="{FF2B5EF4-FFF2-40B4-BE49-F238E27FC236}">
                  <a16:creationId xmlns:a16="http://schemas.microsoft.com/office/drawing/2014/main" id="{B8A4B8EE-5D53-4637-B16D-BCEAD4C28794}"/>
                </a:ext>
              </a:extLst>
            </xdr:cNvPr>
            <xdr:cNvSpPr txBox="1"/>
          </xdr:nvSpPr>
          <xdr:spPr>
            <a:xfrm>
              <a:off x="117230" y="9037759"/>
              <a:ext cx="206370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𝐼_(𝑦𝑦,𝑖)=1/12 〖𝐵_𝑖〗^3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〖𝐻_𝑖〗^ +𝐴_𝑖 (〖𝑥′〗_𝑖−〖𝑥′〗_𝐺 )^2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3</xdr:col>
      <xdr:colOff>593481</xdr:colOff>
      <xdr:row>44</xdr:row>
      <xdr:rowOff>139212</xdr:rowOff>
    </xdr:from>
    <xdr:ext cx="1841210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8AC64C49-3035-4C4A-B9E0-3D12AC5FDBB0}"/>
                </a:ext>
              </a:extLst>
            </xdr:cNvPr>
            <xdr:cNvSpPr txBox="1"/>
          </xdr:nvSpPr>
          <xdr:spPr>
            <a:xfrm>
              <a:off x="2603256" y="8854587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′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8" name="CasellaDiTesto 7">
              <a:extLst>
                <a:ext uri="{FF2B5EF4-FFF2-40B4-BE49-F238E27FC236}">
                  <a16:creationId xmlns:a16="http://schemas.microsoft.com/office/drawing/2014/main" id="{8AC64C49-3035-4C4A-B9E0-3D12AC5FDBB0}"/>
                </a:ext>
              </a:extLst>
            </xdr:cNvPr>
            <xdr:cNvSpPr txBox="1"/>
          </xdr:nvSpPr>
          <xdr:spPr>
            <a:xfrm>
              <a:off x="2603256" y="8854587"/>
              <a:ext cx="1841210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𝐼_(𝑥𝑦,𝑖)=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𝐴_𝑖 (〖𝑥′〗_𝑖−〖𝑥′〗_𝐺 )(〖𝑦′〗_𝑖−〖𝑦′〗_𝐺 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57150</xdr:colOff>
      <xdr:row>7</xdr:row>
      <xdr:rowOff>37525</xdr:rowOff>
    </xdr:from>
    <xdr:to>
      <xdr:col>3</xdr:col>
      <xdr:colOff>567375</xdr:colOff>
      <xdr:row>20</xdr:row>
      <xdr:rowOff>6585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F94DC129-2968-4E95-BCFE-D395101BA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" y="1790125"/>
          <a:ext cx="2520000" cy="2445560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7</xdr:row>
      <xdr:rowOff>163800</xdr:rowOff>
    </xdr:from>
    <xdr:to>
      <xdr:col>7</xdr:col>
      <xdr:colOff>243854</xdr:colOff>
      <xdr:row>20</xdr:row>
      <xdr:rowOff>141503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A005433F-C1BE-47AD-94CA-939436F88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19375" y="1916400"/>
          <a:ext cx="2520000" cy="2454203"/>
        </a:xfrm>
        <a:prstGeom prst="rect">
          <a:avLst/>
        </a:prstGeom>
      </xdr:spPr>
    </xdr:pic>
    <xdr:clientData/>
  </xdr:twoCellAnchor>
  <xdr:oneCellAnchor>
    <xdr:from>
      <xdr:col>4</xdr:col>
      <xdr:colOff>457200</xdr:colOff>
      <xdr:row>68</xdr:row>
      <xdr:rowOff>19050</xdr:rowOff>
    </xdr:from>
    <xdr:ext cx="1391343" cy="3801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52D67F53-4F8B-46B2-BE0E-5E5E905C1B3E}"/>
                </a:ext>
              </a:extLst>
            </xdr:cNvPr>
            <xdr:cNvSpPr txBox="1"/>
          </xdr:nvSpPr>
          <xdr:spPr>
            <a:xfrm>
              <a:off x="3114675" y="13696950"/>
              <a:ext cx="1391343" cy="38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2" name="CasellaDiTesto 11">
              <a:extLst>
                <a:ext uri="{FF2B5EF4-FFF2-40B4-BE49-F238E27FC236}">
                  <a16:creationId xmlns:a16="http://schemas.microsoft.com/office/drawing/2014/main" id="{52D67F53-4F8B-46B2-BE0E-5E5E905C1B3E}"/>
                </a:ext>
              </a:extLst>
            </xdr:cNvPr>
            <xdr:cNvSpPr txBox="1"/>
          </xdr:nvSpPr>
          <xdr:spPr>
            <a:xfrm>
              <a:off x="3114675" y="13696950"/>
              <a:ext cx="1391343" cy="38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it-IT" sz="1100" b="0" i="0">
                  <a:latin typeface="Cambria Math" panose="02040503050406030204" pitchFamily="18" charset="0"/>
                </a:rPr>
                <a:t>𝑧=𝑁/𝐴+𝑀_𝑥/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𝐼_𝑥  </a:t>
              </a:r>
              <a:r>
                <a:rPr lang="it-IT" sz="1100" b="0" i="0">
                  <a:latin typeface="Cambria Math" panose="02040503050406030204" pitchFamily="18" charset="0"/>
                </a:rPr>
                <a:t>𝑦−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𝑀_𝑦/𝐼_𝑦  𝑥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4</xdr:col>
      <xdr:colOff>488922</xdr:colOff>
      <xdr:row>70</xdr:row>
      <xdr:rowOff>94419</xdr:rowOff>
    </xdr:from>
    <xdr:ext cx="1246430" cy="368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asellaDiTesto 12">
              <a:extLst>
                <a:ext uri="{FF2B5EF4-FFF2-40B4-BE49-F238E27FC236}">
                  <a16:creationId xmlns:a16="http://schemas.microsoft.com/office/drawing/2014/main" id="{5D490EB2-915D-4742-90AC-9D92EE5044B7}"/>
                </a:ext>
              </a:extLst>
            </xdr:cNvPr>
            <xdr:cNvSpPr txBox="1"/>
          </xdr:nvSpPr>
          <xdr:spPr>
            <a:xfrm>
              <a:off x="3146397" y="14153319"/>
              <a:ext cx="1246430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𝑁</m:t>
                        </m:r>
                      </m:num>
                      <m:den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den>
                    </m:f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3" name="CasellaDiTesto 12">
              <a:extLst>
                <a:ext uri="{FF2B5EF4-FFF2-40B4-BE49-F238E27FC236}">
                  <a16:creationId xmlns:a16="http://schemas.microsoft.com/office/drawing/2014/main" id="{5D490EB2-915D-4742-90AC-9D92EE5044B7}"/>
                </a:ext>
              </a:extLst>
            </xdr:cNvPr>
            <xdr:cNvSpPr txBox="1"/>
          </xdr:nvSpPr>
          <xdr:spPr>
            <a:xfrm>
              <a:off x="3146397" y="14153319"/>
              <a:ext cx="1246430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latin typeface="Cambria Math" panose="02040503050406030204" pitchFamily="18" charset="0"/>
                </a:rPr>
                <a:t>𝑦=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𝑀_𝑦/𝑀_𝑥   𝐼_𝑥/𝐼_𝑦  𝑥−𝑁/𝐴  𝐼_𝑥/𝑀_𝑥 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5</xdr:col>
      <xdr:colOff>238793</xdr:colOff>
      <xdr:row>55</xdr:row>
      <xdr:rowOff>78827</xdr:rowOff>
    </xdr:from>
    <xdr:to>
      <xdr:col>8</xdr:col>
      <xdr:colOff>472770</xdr:colOff>
      <xdr:row>68</xdr:row>
      <xdr:rowOff>43392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A6044CF8-A606-42BC-86DE-C5E5D99B7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69259" y="11206655"/>
          <a:ext cx="2506839" cy="2454203"/>
        </a:xfrm>
        <a:prstGeom prst="rect">
          <a:avLst/>
        </a:prstGeom>
      </xdr:spPr>
    </xdr:pic>
    <xdr:clientData/>
  </xdr:twoCellAnchor>
  <xdr:twoCellAnchor editAs="oneCell">
    <xdr:from>
      <xdr:col>0</xdr:col>
      <xdr:colOff>578069</xdr:colOff>
      <xdr:row>76</xdr:row>
      <xdr:rowOff>159799</xdr:rowOff>
    </xdr:from>
    <xdr:to>
      <xdr:col>4</xdr:col>
      <xdr:colOff>339080</xdr:colOff>
      <xdr:row>89</xdr:row>
      <xdr:rowOff>133214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01877954-EF26-4314-988C-527489FC2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8069" y="15301265"/>
          <a:ext cx="2506839" cy="24499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98534</xdr:colOff>
      <xdr:row>40</xdr:row>
      <xdr:rowOff>13139</xdr:rowOff>
    </xdr:from>
    <xdr:ext cx="914225" cy="368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sellaDiTesto 14">
              <a:extLst>
                <a:ext uri="{FF2B5EF4-FFF2-40B4-BE49-F238E27FC236}">
                  <a16:creationId xmlns:a16="http://schemas.microsoft.com/office/drawing/2014/main" id="{064A49DC-263D-4496-BD6E-39767F8ED865}"/>
                </a:ext>
              </a:extLst>
            </xdr:cNvPr>
            <xdr:cNvSpPr txBox="1"/>
          </xdr:nvSpPr>
          <xdr:spPr>
            <a:xfrm>
              <a:off x="2824655" y="8060122"/>
              <a:ext cx="914225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den>
                    </m:f>
                    <m:r>
                      <a:rPr lang="it-IT" sz="11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5" name="CasellaDiTesto 14">
              <a:extLst>
                <a:ext uri="{FF2B5EF4-FFF2-40B4-BE49-F238E27FC236}">
                  <a16:creationId xmlns:a16="http://schemas.microsoft.com/office/drawing/2014/main" id="{064A49DC-263D-4496-BD6E-39767F8ED865}"/>
                </a:ext>
              </a:extLst>
            </xdr:cNvPr>
            <xdr:cNvSpPr txBox="1"/>
          </xdr:nvSpPr>
          <xdr:spPr>
            <a:xfrm>
              <a:off x="2824655" y="8060122"/>
              <a:ext cx="914225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it-IT" sz="1100" b="0" i="0">
                  <a:latin typeface="Cambria Math" panose="02040503050406030204" pitchFamily="18" charset="0"/>
                </a:rPr>
                <a:t>𝑧=𝑁/𝐴−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𝑀_𝑦/𝐼_𝑦  𝑥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7</xdr:col>
      <xdr:colOff>61749</xdr:colOff>
      <xdr:row>46</xdr:row>
      <xdr:rowOff>150429</xdr:rowOff>
    </xdr:from>
    <xdr:ext cx="629083" cy="3766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asellaDiTesto 18">
              <a:extLst>
                <a:ext uri="{FF2B5EF4-FFF2-40B4-BE49-F238E27FC236}">
                  <a16:creationId xmlns:a16="http://schemas.microsoft.com/office/drawing/2014/main" id="{07081AF0-0810-248C-EA23-C66F8C8CA700}"/>
                </a:ext>
              </a:extLst>
            </xdr:cNvPr>
            <xdr:cNvSpPr txBox="1"/>
          </xdr:nvSpPr>
          <xdr:spPr>
            <a:xfrm>
              <a:off x="4942490" y="9149912"/>
              <a:ext cx="629083" cy="37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|"/>
                        <m:endChr m:val="|"/>
                        <m:ctrlPr>
                          <a:rPr lang="it-IT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𝑀</m:t>
                                </m:r>
                              </m:e>
                              <m:sub>
                                <m:r>
                                  <a:rPr lang="it-IT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𝑦</m:t>
                                </m:r>
                              </m:sub>
                            </m:sSub>
                          </m:num>
                          <m:den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19" name="CasellaDiTesto 18">
              <a:extLst>
                <a:ext uri="{FF2B5EF4-FFF2-40B4-BE49-F238E27FC236}">
                  <a16:creationId xmlns:a16="http://schemas.microsoft.com/office/drawing/2014/main" id="{07081AF0-0810-248C-EA23-C66F8C8CA700}"/>
                </a:ext>
              </a:extLst>
            </xdr:cNvPr>
            <xdr:cNvSpPr txBox="1"/>
          </xdr:nvSpPr>
          <xdr:spPr>
            <a:xfrm>
              <a:off x="4942490" y="9149912"/>
              <a:ext cx="629083" cy="3766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</a:rPr>
                <a:t>𝑒_𝑥=|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𝑀_𝑦/𝑁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|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7</xdr:col>
      <xdr:colOff>433551</xdr:colOff>
      <xdr:row>49</xdr:row>
      <xdr:rowOff>19706</xdr:rowOff>
    </xdr:from>
    <xdr:ext cx="1078885" cy="4849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asellaDiTesto 19">
              <a:extLst>
                <a:ext uri="{FF2B5EF4-FFF2-40B4-BE49-F238E27FC236}">
                  <a16:creationId xmlns:a16="http://schemas.microsoft.com/office/drawing/2014/main" id="{B4BCF0A2-9AE7-4DB1-8F3D-B501582269A8}"/>
                </a:ext>
              </a:extLst>
            </xdr:cNvPr>
            <xdr:cNvSpPr txBox="1"/>
          </xdr:nvSpPr>
          <xdr:spPr>
            <a:xfrm>
              <a:off x="5314292" y="9781189"/>
              <a:ext cx="1078885" cy="4849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𝜎</m:t>
                        </m:r>
                      </m:e>
                      <m:sub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𝑧</m:t>
                        </m:r>
                      </m:sub>
                    </m:sSub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</m:num>
                      <m:den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  <m:d>
                          <m:dPr>
                            <m:ctrlPr>
                              <a:rPr lang="it-I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it-I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it-I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h</m:t>
                                </m:r>
                              </m:num>
                              <m:den>
                                <m:r>
                                  <a:rPr lang="it-I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  <m:r>
                              <a:rPr lang="it-IT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it-I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it-I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it-IT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𝑥</m:t>
                                </m:r>
                              </m:sub>
                            </m:sSub>
                          </m:e>
                        </m:d>
                        <m:r>
                          <a:rPr lang="it-IT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𝑏</m:t>
                        </m:r>
                      </m:den>
                    </m:f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0" name="CasellaDiTesto 19">
              <a:extLst>
                <a:ext uri="{FF2B5EF4-FFF2-40B4-BE49-F238E27FC236}">
                  <a16:creationId xmlns:a16="http://schemas.microsoft.com/office/drawing/2014/main" id="{B4BCF0A2-9AE7-4DB1-8F3D-B501582269A8}"/>
                </a:ext>
              </a:extLst>
            </xdr:cNvPr>
            <xdr:cNvSpPr txBox="1"/>
          </xdr:nvSpPr>
          <xdr:spPr>
            <a:xfrm>
              <a:off x="5314292" y="9781189"/>
              <a:ext cx="1078885" cy="4849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𝜎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𝑧=2𝑁/3(ℎ/2−𝑒_𝑥 )𝑏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6</xdr:col>
      <xdr:colOff>131379</xdr:colOff>
      <xdr:row>50</xdr:row>
      <xdr:rowOff>59120</xdr:rowOff>
    </xdr:from>
    <xdr:ext cx="94942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asellaDiTesto 20">
              <a:extLst>
                <a:ext uri="{FF2B5EF4-FFF2-40B4-BE49-F238E27FC236}">
                  <a16:creationId xmlns:a16="http://schemas.microsoft.com/office/drawing/2014/main" id="{1E190763-7EDF-43AC-A9C9-EB5B432E0AAE}"/>
                </a:ext>
              </a:extLst>
            </xdr:cNvPr>
            <xdr:cNvSpPr txBox="1"/>
          </xdr:nvSpPr>
          <xdr:spPr>
            <a:xfrm>
              <a:off x="4138448" y="9630103"/>
              <a:ext cx="94942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</m:t>
                    </m:r>
                    <m:r>
                      <a:rPr lang="it-IT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=3</m:t>
                    </m:r>
                    <m:d>
                      <m:d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</m:t>
                            </m:r>
                          </m:num>
                          <m:den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den>
                        </m:f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1" name="CasellaDiTesto 20">
              <a:extLst>
                <a:ext uri="{FF2B5EF4-FFF2-40B4-BE49-F238E27FC236}">
                  <a16:creationId xmlns:a16="http://schemas.microsoft.com/office/drawing/2014/main" id="{1E190763-7EDF-43AC-A9C9-EB5B432E0AAE}"/>
                </a:ext>
              </a:extLst>
            </xdr:cNvPr>
            <xdr:cNvSpPr txBox="1"/>
          </xdr:nvSpPr>
          <xdr:spPr>
            <a:xfrm>
              <a:off x="4138448" y="9630103"/>
              <a:ext cx="94942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it-IT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𝑑=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3(ℎ/2−𝑒_𝑥 )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2</xdr:col>
      <xdr:colOff>466396</xdr:colOff>
      <xdr:row>56</xdr:row>
      <xdr:rowOff>118240</xdr:rowOff>
    </xdr:from>
    <xdr:ext cx="1604285" cy="368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asellaDiTesto 21">
              <a:extLst>
                <a:ext uri="{FF2B5EF4-FFF2-40B4-BE49-F238E27FC236}">
                  <a16:creationId xmlns:a16="http://schemas.microsoft.com/office/drawing/2014/main" id="{51EA309D-0262-4C03-AA2D-FA60D75654DD}"/>
                </a:ext>
              </a:extLst>
            </xdr:cNvPr>
            <xdr:cNvSpPr txBox="1"/>
          </xdr:nvSpPr>
          <xdr:spPr>
            <a:xfrm>
              <a:off x="1865586" y="11384016"/>
              <a:ext cx="1604285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𝑁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it-IT" sz="1100" b="0" i="1">
                        <a:latin typeface="Cambria Math" panose="02040503050406030204" pitchFamily="18" charset="0"/>
                      </a:rPr>
                      <m:t>𝐴</m:t>
                    </m:r>
                    <m:f>
                      <m:fPr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it-IT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𝑦</m:t>
                            </m:r>
                          </m:sub>
                        </m:sSub>
                      </m:den>
                    </m:f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𝑥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=−400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𝑚𝑚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2" name="CasellaDiTesto 21">
              <a:extLst>
                <a:ext uri="{FF2B5EF4-FFF2-40B4-BE49-F238E27FC236}">
                  <a16:creationId xmlns:a16="http://schemas.microsoft.com/office/drawing/2014/main" id="{51EA309D-0262-4C03-AA2D-FA60D75654DD}"/>
                </a:ext>
              </a:extLst>
            </xdr:cNvPr>
            <xdr:cNvSpPr txBox="1"/>
          </xdr:nvSpPr>
          <xdr:spPr>
            <a:xfrm>
              <a:off x="1865586" y="11384016"/>
              <a:ext cx="1604285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𝑁</a:t>
              </a:r>
              <a:r>
                <a:rPr lang="it-IT" sz="1100" b="0" i="0">
                  <a:latin typeface="Cambria Math" panose="02040503050406030204" pitchFamily="18" charset="0"/>
                </a:rPr>
                <a:t>=𝐴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𝑀_𝑦/𝐼_𝑦 (𝑥=−400𝑚𝑚)</a:t>
              </a:r>
              <a:endParaRPr lang="it-IT" sz="1100"/>
            </a:p>
          </xdr:txBody>
        </xdr:sp>
      </mc:Fallback>
    </mc:AlternateContent>
    <xdr:clientData/>
  </xdr:oneCellAnchor>
  <xdr:twoCellAnchor editAs="oneCell">
    <xdr:from>
      <xdr:col>0</xdr:col>
      <xdr:colOff>538656</xdr:colOff>
      <xdr:row>5</xdr:row>
      <xdr:rowOff>85397</xdr:rowOff>
    </xdr:from>
    <xdr:to>
      <xdr:col>6</xdr:col>
      <xdr:colOff>718398</xdr:colOff>
      <xdr:row>21</xdr:row>
      <xdr:rowOff>105569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id="{70168F91-7745-D58B-04D3-E2E7949B9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56" y="1464880"/>
          <a:ext cx="4186811" cy="3068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77D1D-ACAC-497C-938D-456358C7E83E}">
  <dimension ref="A1:I71"/>
  <sheetViews>
    <sheetView tabSelected="1" zoomScaleNormal="100" workbookViewId="0">
      <selection activeCell="G10" sqref="G10"/>
    </sheetView>
  </sheetViews>
  <sheetFormatPr defaultRowHeight="15" x14ac:dyDescent="0.25"/>
  <cols>
    <col min="2" max="2" width="11.85546875" customWidth="1"/>
    <col min="4" max="4" width="9.7109375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94</v>
      </c>
    </row>
    <row r="3" spans="1:9" ht="16.5" customHeight="1" x14ac:dyDescent="0.25">
      <c r="A3" s="37" t="s">
        <v>93</v>
      </c>
      <c r="B3" s="37"/>
      <c r="C3" s="37"/>
      <c r="D3" s="37"/>
      <c r="E3" s="37"/>
      <c r="F3" s="37"/>
      <c r="G3" s="37"/>
      <c r="H3" s="37"/>
      <c r="I3" s="25"/>
    </row>
    <row r="4" spans="1:9" x14ac:dyDescent="0.25">
      <c r="A4" s="38"/>
      <c r="B4" s="38"/>
      <c r="C4" s="38"/>
      <c r="D4" s="38"/>
      <c r="E4" s="38"/>
      <c r="F4" s="38"/>
      <c r="G4" s="38"/>
      <c r="H4" s="38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" t="s">
        <v>2</v>
      </c>
      <c r="F6" s="2"/>
    </row>
    <row r="19" spans="1:6" x14ac:dyDescent="0.25">
      <c r="A19" s="2" t="s">
        <v>4</v>
      </c>
    </row>
    <row r="20" spans="1:6" ht="18" x14ac:dyDescent="0.35">
      <c r="A20" s="4" t="s">
        <v>5</v>
      </c>
      <c r="B20" s="4" t="s">
        <v>92</v>
      </c>
      <c r="C20" s="4" t="s">
        <v>21</v>
      </c>
      <c r="D20" s="4" t="s">
        <v>20</v>
      </c>
      <c r="E20" s="4" t="s">
        <v>19</v>
      </c>
      <c r="F20" s="4" t="s">
        <v>18</v>
      </c>
    </row>
    <row r="21" spans="1:6" ht="17.25" x14ac:dyDescent="0.25">
      <c r="A21" s="5" t="s">
        <v>12</v>
      </c>
      <c r="B21" s="5" t="s">
        <v>10</v>
      </c>
      <c r="C21" s="5" t="s">
        <v>10</v>
      </c>
      <c r="D21" s="5" t="s">
        <v>11</v>
      </c>
      <c r="E21" s="5" t="s">
        <v>10</v>
      </c>
      <c r="F21" s="5" t="s">
        <v>10</v>
      </c>
    </row>
    <row r="22" spans="1:6" x14ac:dyDescent="0.25">
      <c r="A22" s="3" t="s">
        <v>91</v>
      </c>
      <c r="B22" s="3">
        <v>270</v>
      </c>
      <c r="C22" s="3">
        <v>100</v>
      </c>
      <c r="D22" s="3">
        <f>B22*C22</f>
        <v>27000</v>
      </c>
      <c r="E22" s="3">
        <v>0</v>
      </c>
      <c r="F22" s="3">
        <v>0</v>
      </c>
    </row>
    <row r="23" spans="1:6" x14ac:dyDescent="0.25">
      <c r="A23" s="1" t="s">
        <v>90</v>
      </c>
      <c r="B23" s="1">
        <v>35</v>
      </c>
      <c r="C23" s="1" t="s">
        <v>87</v>
      </c>
      <c r="D23" s="1">
        <f>B23^2*PI()</f>
        <v>3848.4510006474966</v>
      </c>
      <c r="E23" s="3">
        <f>35+15+35</f>
        <v>85</v>
      </c>
      <c r="F23" s="1">
        <v>0</v>
      </c>
    </row>
    <row r="24" spans="1:6" x14ac:dyDescent="0.25">
      <c r="A24" s="1" t="s">
        <v>89</v>
      </c>
      <c r="B24" s="1">
        <v>35</v>
      </c>
      <c r="C24" s="1" t="s">
        <v>87</v>
      </c>
      <c r="D24" s="1">
        <f>B24^2*PI()</f>
        <v>3848.4510006474966</v>
      </c>
      <c r="E24" s="3">
        <v>0</v>
      </c>
      <c r="F24" s="1">
        <v>0</v>
      </c>
    </row>
    <row r="25" spans="1:6" x14ac:dyDescent="0.25">
      <c r="A25" s="1" t="s">
        <v>88</v>
      </c>
      <c r="B25" s="1">
        <v>35</v>
      </c>
      <c r="C25" s="1" t="s">
        <v>87</v>
      </c>
      <c r="D25" s="1">
        <f>B25^2*PI()</f>
        <v>3848.4510006474966</v>
      </c>
      <c r="E25" s="3">
        <f>-(35+15+35)</f>
        <v>-85</v>
      </c>
      <c r="F25" s="1">
        <v>0</v>
      </c>
    </row>
    <row r="27" spans="1:6" x14ac:dyDescent="0.25">
      <c r="A27" s="2" t="s">
        <v>16</v>
      </c>
    </row>
    <row r="28" spans="1:6" ht="17.25" x14ac:dyDescent="0.25">
      <c r="A28" t="s">
        <v>0</v>
      </c>
      <c r="B28">
        <f>D22-D23-D24-D25</f>
        <v>15454.646998057513</v>
      </c>
      <c r="C28" t="s">
        <v>17</v>
      </c>
    </row>
    <row r="30" spans="1:6" x14ac:dyDescent="0.25">
      <c r="A30" s="2" t="s">
        <v>14</v>
      </c>
    </row>
    <row r="31" spans="1:6" ht="17.25" x14ac:dyDescent="0.25">
      <c r="A31" t="s">
        <v>8</v>
      </c>
      <c r="B31">
        <f>D22*F22-D23*F23-D24*F24-D25*F25</f>
        <v>0</v>
      </c>
      <c r="C31" t="s">
        <v>13</v>
      </c>
    </row>
    <row r="32" spans="1:6" ht="17.25" x14ac:dyDescent="0.25">
      <c r="A32" t="s">
        <v>9</v>
      </c>
      <c r="B32">
        <f>D22*E22-D23*E23-D24*E24-D25*E25</f>
        <v>0</v>
      </c>
      <c r="C32" t="s">
        <v>13</v>
      </c>
    </row>
    <row r="34" spans="1:9" x14ac:dyDescent="0.25">
      <c r="A34" s="2" t="s">
        <v>15</v>
      </c>
    </row>
    <row r="35" spans="1:9" x14ac:dyDescent="0.25">
      <c r="A35" t="s">
        <v>6</v>
      </c>
      <c r="B35" s="6">
        <f>B32/B28</f>
        <v>0</v>
      </c>
      <c r="C35" t="s">
        <v>1</v>
      </c>
    </row>
    <row r="36" spans="1:9" x14ac:dyDescent="0.25">
      <c r="A36" t="s">
        <v>7</v>
      </c>
      <c r="B36" s="6">
        <f>B31/B28</f>
        <v>0</v>
      </c>
      <c r="C36" t="s">
        <v>1</v>
      </c>
    </row>
    <row r="38" spans="1:9" x14ac:dyDescent="0.25">
      <c r="A38" s="2" t="s">
        <v>23</v>
      </c>
    </row>
    <row r="39" spans="1:9" x14ac:dyDescent="0.25">
      <c r="A39" s="2"/>
    </row>
    <row r="40" spans="1:9" x14ac:dyDescent="0.25">
      <c r="A40" s="2"/>
    </row>
    <row r="41" spans="1:9" x14ac:dyDescent="0.25">
      <c r="A41" s="2"/>
    </row>
    <row r="42" spans="1:9" x14ac:dyDescent="0.25">
      <c r="A42" s="2"/>
    </row>
    <row r="43" spans="1:9" ht="15.75" thickBot="1" x14ac:dyDescent="0.3">
      <c r="A43" s="2"/>
    </row>
    <row r="44" spans="1:9" ht="18.75" thickTop="1" x14ac:dyDescent="0.35">
      <c r="A44" s="4" t="s">
        <v>5</v>
      </c>
      <c r="B44" s="4" t="s">
        <v>22</v>
      </c>
      <c r="C44" s="4" t="s">
        <v>21</v>
      </c>
      <c r="D44" s="4" t="s">
        <v>20</v>
      </c>
      <c r="E44" s="4" t="s">
        <v>19</v>
      </c>
      <c r="F44" s="9" t="s">
        <v>18</v>
      </c>
      <c r="G44" s="11" t="s">
        <v>25</v>
      </c>
      <c r="H44" s="12" t="s">
        <v>26</v>
      </c>
      <c r="I44" s="13" t="s">
        <v>27</v>
      </c>
    </row>
    <row r="45" spans="1:9" ht="17.25" x14ac:dyDescent="0.25">
      <c r="A45" s="5" t="s">
        <v>12</v>
      </c>
      <c r="B45" s="5" t="s">
        <v>10</v>
      </c>
      <c r="C45" s="5" t="s">
        <v>10</v>
      </c>
      <c r="D45" s="5" t="s">
        <v>11</v>
      </c>
      <c r="E45" s="5" t="s">
        <v>10</v>
      </c>
      <c r="F45" s="10" t="s">
        <v>10</v>
      </c>
      <c r="G45" s="14" t="s">
        <v>24</v>
      </c>
      <c r="H45" s="5" t="s">
        <v>24</v>
      </c>
      <c r="I45" s="15" t="s">
        <v>24</v>
      </c>
    </row>
    <row r="46" spans="1:9" x14ac:dyDescent="0.25">
      <c r="A46" s="3" t="s">
        <v>91</v>
      </c>
      <c r="B46" s="3">
        <v>270</v>
      </c>
      <c r="C46" s="3">
        <v>100</v>
      </c>
      <c r="D46" s="3">
        <f>B46*C46</f>
        <v>27000</v>
      </c>
      <c r="E46" s="3">
        <v>0</v>
      </c>
      <c r="F46" s="3">
        <v>0</v>
      </c>
      <c r="G46" s="17">
        <f>1/12*B46*C46^3+D46*(F46-$B$36)^2</f>
        <v>22500000</v>
      </c>
      <c r="H46" s="18">
        <f>1/12*C46*B46^3+D46*(E46-$B$35)^2</f>
        <v>164024999.99999997</v>
      </c>
      <c r="I46" s="16">
        <f>D46*(E46-$B$35)*(F46-$B$36)</f>
        <v>0</v>
      </c>
    </row>
    <row r="47" spans="1:9" x14ac:dyDescent="0.25">
      <c r="A47" s="1" t="s">
        <v>90</v>
      </c>
      <c r="B47" s="1">
        <v>35</v>
      </c>
      <c r="C47" s="1" t="s">
        <v>87</v>
      </c>
      <c r="D47" s="1">
        <f>B47^2*PI()</f>
        <v>3848.4510006474966</v>
      </c>
      <c r="E47" s="3">
        <f>35+15+35</f>
        <v>85</v>
      </c>
      <c r="F47" s="1">
        <v>0</v>
      </c>
      <c r="G47" s="17">
        <f>1/64*(2*B47)^4*PI()+D47*(F47-$B$36)^2</f>
        <v>1178588.1189482957</v>
      </c>
      <c r="H47" s="18">
        <f>1/64*(2*B47)^4*PI()+D47*(E47-$B$35)^2</f>
        <v>28983646.598626457</v>
      </c>
      <c r="I47" s="16">
        <f>D47*(E47-$B$35)*(F47-$B$36)</f>
        <v>0</v>
      </c>
    </row>
    <row r="48" spans="1:9" x14ac:dyDescent="0.25">
      <c r="A48" s="1" t="s">
        <v>89</v>
      </c>
      <c r="B48" s="1">
        <v>35</v>
      </c>
      <c r="C48" s="1" t="s">
        <v>87</v>
      </c>
      <c r="D48" s="1">
        <f>B48^2*PI()</f>
        <v>3848.4510006474966</v>
      </c>
      <c r="E48" s="3">
        <v>0</v>
      </c>
      <c r="F48" s="1">
        <v>0</v>
      </c>
      <c r="G48" s="17">
        <f>1/64*(2*B47)^4*PI()+D48*(F48-$B$36)^2</f>
        <v>1178588.1189482957</v>
      </c>
      <c r="H48" s="18">
        <f>1/64*(2*B47)^4*PI()+D48*(E48-$B$35)^2</f>
        <v>1178588.1189482957</v>
      </c>
      <c r="I48" s="16">
        <f>D48*(E48-$B$35)*(F48-$B$36)</f>
        <v>0</v>
      </c>
    </row>
    <row r="49" spans="1:9" ht="15.75" thickBot="1" x14ac:dyDescent="0.3">
      <c r="A49" s="1" t="s">
        <v>88</v>
      </c>
      <c r="B49" s="1">
        <v>35</v>
      </c>
      <c r="C49" s="1" t="s">
        <v>87</v>
      </c>
      <c r="D49" s="1">
        <f>B49^2*PI()</f>
        <v>3848.4510006474966</v>
      </c>
      <c r="E49" s="3">
        <f>-(35+15+35)</f>
        <v>-85</v>
      </c>
      <c r="F49" s="1">
        <v>0</v>
      </c>
      <c r="G49" s="20">
        <f>1/64*(2*B47)^4*PI()+D49*(F49-$B$36)^2</f>
        <v>1178588.1189482957</v>
      </c>
      <c r="H49" s="21">
        <f>1/64*(2*B47)^4*PI()+D49*(E49-$B$35)^2</f>
        <v>28983646.598626457</v>
      </c>
      <c r="I49" s="22">
        <f>D49*(E49-$B$35)*(F49-$B$36)</f>
        <v>0</v>
      </c>
    </row>
    <row r="50" spans="1:9" ht="15.75" thickTop="1" x14ac:dyDescent="0.25"/>
    <row r="51" spans="1:9" ht="18.75" x14ac:dyDescent="0.35">
      <c r="A51" t="s">
        <v>28</v>
      </c>
      <c r="B51" s="19">
        <f>G46-SUM(G47:G49)</f>
        <v>18964235.643155113</v>
      </c>
      <c r="C51" t="s">
        <v>30</v>
      </c>
    </row>
    <row r="52" spans="1:9" ht="18.75" x14ac:dyDescent="0.35">
      <c r="A52" t="s">
        <v>29</v>
      </c>
      <c r="B52" s="19">
        <f>H46-SUM(H47:H49)</f>
        <v>104879118.68379876</v>
      </c>
      <c r="C52" t="s">
        <v>30</v>
      </c>
    </row>
    <row r="54" spans="1:9" x14ac:dyDescent="0.25">
      <c r="A54" s="2" t="s">
        <v>31</v>
      </c>
    </row>
    <row r="55" spans="1:9" x14ac:dyDescent="0.25">
      <c r="A55" s="2"/>
    </row>
    <row r="56" spans="1:9" x14ac:dyDescent="0.25">
      <c r="A56" t="s">
        <v>32</v>
      </c>
      <c r="B56">
        <f>17000000*COS(35*PI()/180)</f>
        <v>13925584.75291286</v>
      </c>
      <c r="C56" t="s">
        <v>35</v>
      </c>
    </row>
    <row r="57" spans="1:9" x14ac:dyDescent="0.25">
      <c r="A57" s="23" t="s">
        <v>33</v>
      </c>
      <c r="B57" s="7">
        <f>17000000*SIN(35*PI()/180)</f>
        <v>9750799.4179677833</v>
      </c>
      <c r="C57" t="s">
        <v>35</v>
      </c>
    </row>
    <row r="58" spans="1:9" x14ac:dyDescent="0.25">
      <c r="A58" t="s">
        <v>34</v>
      </c>
      <c r="B58" s="7">
        <v>0</v>
      </c>
      <c r="C58" t="s">
        <v>34</v>
      </c>
      <c r="G58" s="24"/>
    </row>
    <row r="59" spans="1:9" x14ac:dyDescent="0.25">
      <c r="A59" s="2"/>
    </row>
    <row r="60" spans="1:9" x14ac:dyDescent="0.25">
      <c r="A60" t="s">
        <v>86</v>
      </c>
      <c r="B60">
        <f>B57/B56*B51/B52</f>
        <v>0.12661148301367006</v>
      </c>
      <c r="C60" t="s">
        <v>38</v>
      </c>
    </row>
    <row r="62" spans="1:9" x14ac:dyDescent="0.25">
      <c r="A62" s="1" t="s">
        <v>38</v>
      </c>
      <c r="B62" s="1" t="s">
        <v>36</v>
      </c>
    </row>
    <row r="63" spans="1:9" x14ac:dyDescent="0.25">
      <c r="A63" s="1">
        <v>0</v>
      </c>
      <c r="B63" s="31">
        <f>B60*A63</f>
        <v>0</v>
      </c>
    </row>
    <row r="64" spans="1:9" x14ac:dyDescent="0.25">
      <c r="A64" s="1">
        <f>270/2</f>
        <v>135</v>
      </c>
      <c r="B64" s="31">
        <f>B60*A64</f>
        <v>17.092550206845459</v>
      </c>
    </row>
    <row r="65" spans="1:4" x14ac:dyDescent="0.25">
      <c r="A65" s="2"/>
    </row>
    <row r="66" spans="1:4" x14ac:dyDescent="0.25">
      <c r="A66" s="2"/>
    </row>
    <row r="67" spans="1:4" x14ac:dyDescent="0.25">
      <c r="A67" s="28" t="s">
        <v>37</v>
      </c>
      <c r="B67" s="29" t="s">
        <v>40</v>
      </c>
      <c r="C67" s="28" t="s">
        <v>39</v>
      </c>
      <c r="D67" s="28" t="s">
        <v>41</v>
      </c>
    </row>
    <row r="68" spans="1:4" x14ac:dyDescent="0.25">
      <c r="A68" s="28" t="s">
        <v>0</v>
      </c>
      <c r="B68" s="30">
        <v>135</v>
      </c>
      <c r="C68" s="28">
        <v>-50</v>
      </c>
      <c r="D68" s="32">
        <f>$B$56/$B$51*C68-$B$57/$B$52*B68</f>
        <v>-49.266577982630785</v>
      </c>
    </row>
    <row r="69" spans="1:4" x14ac:dyDescent="0.25">
      <c r="A69" s="28" t="s">
        <v>43</v>
      </c>
      <c r="B69" s="30">
        <v>-135</v>
      </c>
      <c r="C69" s="28">
        <v>50</v>
      </c>
      <c r="D69" s="32">
        <f>$B$56/$B$51*C69-$B$57/$B$52*B69</f>
        <v>49.266577982630785</v>
      </c>
    </row>
    <row r="70" spans="1:4" x14ac:dyDescent="0.25">
      <c r="B70" s="19"/>
    </row>
    <row r="71" spans="1:4" x14ac:dyDescent="0.25">
      <c r="B71" s="19"/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DB40-B122-4A9D-8E84-3F9E5779BB94}">
  <dimension ref="A1:I99"/>
  <sheetViews>
    <sheetView zoomScaleNormal="100" workbookViewId="0"/>
  </sheetViews>
  <sheetFormatPr defaultRowHeight="15" x14ac:dyDescent="0.25"/>
  <cols>
    <col min="2" max="2" width="11.85546875" customWidth="1"/>
    <col min="4" max="4" width="9.7109375" bestFit="1" customWidth="1"/>
    <col min="5" max="5" width="11.5703125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95</v>
      </c>
    </row>
    <row r="3" spans="1:9" ht="16.5" customHeight="1" x14ac:dyDescent="0.25">
      <c r="A3" s="37" t="s">
        <v>44</v>
      </c>
      <c r="B3" s="37"/>
      <c r="C3" s="37"/>
      <c r="D3" s="37"/>
      <c r="E3" s="37"/>
      <c r="F3" s="37"/>
      <c r="G3" s="37"/>
      <c r="H3" s="37"/>
      <c r="I3" s="25"/>
    </row>
    <row r="4" spans="1:9" x14ac:dyDescent="0.25">
      <c r="A4" s="38"/>
      <c r="B4" s="38"/>
      <c r="C4" s="38"/>
      <c r="D4" s="38"/>
      <c r="E4" s="38"/>
      <c r="F4" s="38"/>
      <c r="G4" s="38"/>
      <c r="H4" s="38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7"/>
      <c r="B6" s="27"/>
      <c r="C6" s="27"/>
      <c r="D6" s="27"/>
      <c r="E6" s="27"/>
      <c r="F6" s="27"/>
      <c r="G6" s="27"/>
      <c r="H6" s="27"/>
      <c r="I6" s="25"/>
    </row>
    <row r="7" spans="1:9" x14ac:dyDescent="0.25">
      <c r="A7" s="27"/>
      <c r="B7" s="27"/>
      <c r="C7" s="27"/>
      <c r="D7" s="27"/>
      <c r="E7" s="27"/>
      <c r="F7" s="27"/>
      <c r="G7" s="27"/>
      <c r="H7" s="27"/>
      <c r="I7" s="25"/>
    </row>
    <row r="8" spans="1:9" x14ac:dyDescent="0.25">
      <c r="A8" s="27"/>
      <c r="B8" s="27"/>
      <c r="C8" s="27"/>
      <c r="D8" s="27"/>
      <c r="E8" s="27"/>
      <c r="F8" s="27"/>
      <c r="G8" s="27"/>
      <c r="H8" s="27"/>
      <c r="I8" s="25"/>
    </row>
    <row r="9" spans="1:9" x14ac:dyDescent="0.25">
      <c r="A9" s="27"/>
      <c r="B9" s="27"/>
      <c r="C9" s="27"/>
      <c r="D9" s="27"/>
      <c r="E9" s="27"/>
      <c r="F9" s="27"/>
      <c r="G9" s="27"/>
      <c r="H9" s="27"/>
      <c r="I9" s="25"/>
    </row>
    <row r="10" spans="1:9" x14ac:dyDescent="0.25">
      <c r="A10" s="27"/>
      <c r="B10" s="27"/>
      <c r="C10" s="27"/>
      <c r="D10" s="27"/>
      <c r="E10" s="27"/>
      <c r="F10" s="27"/>
      <c r="G10" s="27"/>
      <c r="H10" s="27"/>
      <c r="I10" s="25"/>
    </row>
    <row r="11" spans="1:9" x14ac:dyDescent="0.25">
      <c r="A11" s="27"/>
      <c r="B11" s="27"/>
      <c r="C11" s="27"/>
      <c r="D11" s="27"/>
      <c r="E11" s="27"/>
      <c r="F11" s="27"/>
      <c r="G11" s="27"/>
      <c r="H11" s="27"/>
      <c r="I11" s="25"/>
    </row>
    <row r="12" spans="1:9" x14ac:dyDescent="0.25">
      <c r="A12" s="27"/>
      <c r="B12" s="27"/>
      <c r="C12" s="27"/>
      <c r="D12" s="27"/>
      <c r="E12" s="27"/>
      <c r="F12" s="27"/>
      <c r="G12" s="27"/>
      <c r="H12" s="27"/>
      <c r="I12" s="25"/>
    </row>
    <row r="13" spans="1:9" x14ac:dyDescent="0.25">
      <c r="A13" s="27"/>
      <c r="B13" s="27"/>
      <c r="C13" s="27"/>
      <c r="D13" s="27"/>
      <c r="E13" s="27"/>
      <c r="F13" s="27"/>
      <c r="G13" s="27"/>
      <c r="H13" s="27"/>
      <c r="I13" s="25"/>
    </row>
    <row r="14" spans="1:9" x14ac:dyDescent="0.25">
      <c r="A14" s="27"/>
      <c r="B14" s="27"/>
      <c r="C14" s="27"/>
      <c r="D14" s="27"/>
      <c r="E14" s="27"/>
      <c r="F14" s="27"/>
      <c r="G14" s="27"/>
      <c r="H14" s="27"/>
      <c r="I14" s="25"/>
    </row>
    <row r="15" spans="1:9" x14ac:dyDescent="0.25">
      <c r="A15" s="27"/>
      <c r="B15" s="27"/>
      <c r="C15" s="27"/>
      <c r="D15" s="27"/>
      <c r="E15" s="27"/>
      <c r="F15" s="27"/>
      <c r="G15" s="27"/>
      <c r="H15" s="27"/>
      <c r="I15" s="25"/>
    </row>
    <row r="16" spans="1:9" x14ac:dyDescent="0.25">
      <c r="A16" s="27"/>
      <c r="B16" s="27"/>
      <c r="C16" s="27"/>
      <c r="D16" s="27"/>
      <c r="E16" s="27"/>
      <c r="F16" s="27"/>
      <c r="G16" s="27"/>
      <c r="H16" s="27"/>
      <c r="I16" s="25"/>
    </row>
    <row r="17" spans="1:9" x14ac:dyDescent="0.25">
      <c r="A17" s="27"/>
      <c r="B17" s="27"/>
      <c r="C17" s="27"/>
      <c r="D17" s="27"/>
      <c r="E17" s="27"/>
      <c r="F17" s="27"/>
      <c r="G17" s="27"/>
      <c r="H17" s="27"/>
      <c r="I17" s="25"/>
    </row>
    <row r="18" spans="1:9" ht="15" customHeight="1" x14ac:dyDescent="0.25">
      <c r="A18" s="27"/>
      <c r="B18" s="27"/>
      <c r="C18" s="27"/>
      <c r="D18" s="39"/>
      <c r="E18" s="39"/>
      <c r="F18" s="39"/>
      <c r="G18" s="39"/>
      <c r="H18" s="27"/>
      <c r="I18" s="25"/>
    </row>
    <row r="20" spans="1:9" x14ac:dyDescent="0.25">
      <c r="A20" s="2" t="s">
        <v>2</v>
      </c>
      <c r="F20" s="2"/>
    </row>
    <row r="43" spans="1:6" x14ac:dyDescent="0.25">
      <c r="A43" s="2" t="s">
        <v>4</v>
      </c>
    </row>
    <row r="44" spans="1:6" ht="18" x14ac:dyDescent="0.35">
      <c r="A44" s="4" t="s">
        <v>51</v>
      </c>
      <c r="B44" s="4" t="s">
        <v>22</v>
      </c>
      <c r="C44" s="4" t="s">
        <v>21</v>
      </c>
      <c r="D44" s="4" t="s">
        <v>20</v>
      </c>
      <c r="E44" s="4" t="s">
        <v>19</v>
      </c>
      <c r="F44" s="4" t="s">
        <v>18</v>
      </c>
    </row>
    <row r="45" spans="1:6" ht="12" customHeight="1" x14ac:dyDescent="0.25">
      <c r="A45" s="5" t="s">
        <v>12</v>
      </c>
      <c r="B45" s="5" t="s">
        <v>10</v>
      </c>
      <c r="C45" s="5" t="s">
        <v>10</v>
      </c>
      <c r="D45" s="5" t="s">
        <v>11</v>
      </c>
      <c r="E45" s="5" t="s">
        <v>10</v>
      </c>
      <c r="F45" s="5" t="s">
        <v>10</v>
      </c>
    </row>
    <row r="46" spans="1:6" x14ac:dyDescent="0.25">
      <c r="A46" s="3">
        <v>1</v>
      </c>
      <c r="B46" s="3">
        <v>350</v>
      </c>
      <c r="C46" s="3">
        <v>12</v>
      </c>
      <c r="D46" s="3">
        <f>B46*C46</f>
        <v>4200</v>
      </c>
      <c r="E46" s="3">
        <v>0</v>
      </c>
      <c r="F46" s="3">
        <v>0</v>
      </c>
    </row>
    <row r="47" spans="1:6" x14ac:dyDescent="0.25">
      <c r="A47" s="1">
        <v>2</v>
      </c>
      <c r="B47" s="1">
        <v>14</v>
      </c>
      <c r="C47" s="1">
        <v>450</v>
      </c>
      <c r="D47" s="1">
        <f t="shared" ref="D47:D48" si="0">B47*C47</f>
        <v>6300</v>
      </c>
      <c r="E47" s="3">
        <v>0</v>
      </c>
      <c r="F47" s="1">
        <f>450/2</f>
        <v>225</v>
      </c>
    </row>
    <row r="48" spans="1:6" x14ac:dyDescent="0.25">
      <c r="A48" s="1">
        <v>3</v>
      </c>
      <c r="B48" s="1">
        <v>240</v>
      </c>
      <c r="C48" s="1">
        <v>10</v>
      </c>
      <c r="D48" s="1">
        <f t="shared" si="0"/>
        <v>2400</v>
      </c>
      <c r="E48" s="3">
        <v>0</v>
      </c>
      <c r="F48" s="1">
        <v>450</v>
      </c>
    </row>
    <row r="50" spans="1:3" x14ac:dyDescent="0.25">
      <c r="A50" s="2" t="s">
        <v>16</v>
      </c>
    </row>
    <row r="51" spans="1:3" ht="17.25" x14ac:dyDescent="0.25">
      <c r="A51" t="s">
        <v>0</v>
      </c>
      <c r="B51">
        <f>SUM(D46:D48)</f>
        <v>12900</v>
      </c>
      <c r="C51" t="s">
        <v>17</v>
      </c>
    </row>
    <row r="53" spans="1:3" x14ac:dyDescent="0.25">
      <c r="A53" s="2" t="s">
        <v>14</v>
      </c>
    </row>
    <row r="54" spans="1:3" ht="17.25" x14ac:dyDescent="0.25">
      <c r="A54" t="s">
        <v>8</v>
      </c>
      <c r="B54">
        <f>D46*F46+D47*F47+D48*F48</f>
        <v>2497500</v>
      </c>
      <c r="C54" t="s">
        <v>13</v>
      </c>
    </row>
    <row r="55" spans="1:3" ht="17.25" x14ac:dyDescent="0.25">
      <c r="A55" t="s">
        <v>9</v>
      </c>
      <c r="B55">
        <f>D46*E46+D47*E47+D48*E48</f>
        <v>0</v>
      </c>
      <c r="C55" t="s">
        <v>13</v>
      </c>
    </row>
    <row r="57" spans="1:3" x14ac:dyDescent="0.25">
      <c r="A57" s="2" t="s">
        <v>15</v>
      </c>
    </row>
    <row r="58" spans="1:3" x14ac:dyDescent="0.25">
      <c r="A58" t="s">
        <v>6</v>
      </c>
      <c r="B58" s="6">
        <f>B55/B51</f>
        <v>0</v>
      </c>
      <c r="C58" t="s">
        <v>1</v>
      </c>
    </row>
    <row r="59" spans="1:3" x14ac:dyDescent="0.25">
      <c r="A59" t="s">
        <v>7</v>
      </c>
      <c r="B59" s="6">
        <f>B54/B51</f>
        <v>193.6046511627907</v>
      </c>
      <c r="C59" t="s">
        <v>1</v>
      </c>
    </row>
    <row r="61" spans="1:3" x14ac:dyDescent="0.25">
      <c r="A61" s="2" t="s">
        <v>23</v>
      </c>
    </row>
    <row r="62" spans="1:3" x14ac:dyDescent="0.25">
      <c r="A62" s="2"/>
    </row>
    <row r="63" spans="1:3" x14ac:dyDescent="0.25">
      <c r="A63" s="2"/>
    </row>
    <row r="64" spans="1:3" x14ac:dyDescent="0.25">
      <c r="A64" s="2"/>
    </row>
    <row r="65" spans="1:9" x14ac:dyDescent="0.25">
      <c r="A65" s="2"/>
    </row>
    <row r="66" spans="1:9" ht="15.75" thickBot="1" x14ac:dyDescent="0.3">
      <c r="A66" s="2"/>
    </row>
    <row r="67" spans="1:9" ht="18.75" thickTop="1" x14ac:dyDescent="0.35">
      <c r="A67" s="4" t="s">
        <v>5</v>
      </c>
      <c r="B67" s="4" t="s">
        <v>22</v>
      </c>
      <c r="C67" s="4" t="s">
        <v>21</v>
      </c>
      <c r="D67" s="4" t="s">
        <v>20</v>
      </c>
      <c r="E67" s="4" t="s">
        <v>19</v>
      </c>
      <c r="F67" s="9" t="s">
        <v>18</v>
      </c>
      <c r="G67" s="11" t="s">
        <v>25</v>
      </c>
      <c r="H67" s="12" t="s">
        <v>26</v>
      </c>
      <c r="I67" s="13" t="s">
        <v>27</v>
      </c>
    </row>
    <row r="68" spans="1:9" ht="17.25" x14ac:dyDescent="0.25">
      <c r="A68" s="5" t="s">
        <v>12</v>
      </c>
      <c r="B68" s="5" t="s">
        <v>10</v>
      </c>
      <c r="C68" s="5" t="s">
        <v>10</v>
      </c>
      <c r="D68" s="5" t="s">
        <v>11</v>
      </c>
      <c r="E68" s="5" t="s">
        <v>10</v>
      </c>
      <c r="F68" s="10" t="s">
        <v>10</v>
      </c>
      <c r="G68" s="14" t="s">
        <v>24</v>
      </c>
      <c r="H68" s="5" t="s">
        <v>24</v>
      </c>
      <c r="I68" s="15" t="s">
        <v>24</v>
      </c>
    </row>
    <row r="69" spans="1:9" x14ac:dyDescent="0.25">
      <c r="A69" s="3">
        <v>1</v>
      </c>
      <c r="B69" s="3">
        <v>350</v>
      </c>
      <c r="C69" s="3">
        <v>12</v>
      </c>
      <c r="D69" s="3">
        <f>B69*C69</f>
        <v>4200</v>
      </c>
      <c r="E69" s="3">
        <v>0</v>
      </c>
      <c r="F69" s="3">
        <v>0</v>
      </c>
      <c r="G69" s="17">
        <f>1/12*B69*C69^3+D69*(F69-$B$59)^2</f>
        <v>157477995.99783665</v>
      </c>
      <c r="H69" s="18">
        <f>1/12*C69*B69^3+D69*(E69-$B$58)^2</f>
        <v>42875000</v>
      </c>
      <c r="I69" s="16">
        <f>D69*(E69-$B$58)*(F69-$B$59)</f>
        <v>0</v>
      </c>
    </row>
    <row r="70" spans="1:9" x14ac:dyDescent="0.25">
      <c r="A70" s="1">
        <v>2</v>
      </c>
      <c r="B70" s="1">
        <v>14</v>
      </c>
      <c r="C70" s="1">
        <v>450</v>
      </c>
      <c r="D70" s="1">
        <f t="shared" ref="D70:D71" si="1">B70*C70</f>
        <v>6300</v>
      </c>
      <c r="E70" s="3">
        <v>0</v>
      </c>
      <c r="F70" s="1">
        <f>450/2</f>
        <v>225</v>
      </c>
      <c r="G70" s="17">
        <f t="shared" ref="G70:G71" si="2">1/12*B70*C70^3+D70*(F70-$B$59)^2</f>
        <v>112522207.95024335</v>
      </c>
      <c r="H70" s="18">
        <f t="shared" ref="H70:H71" si="3">1/12*C70*B70^3+D70*(E70-$B$58)^2</f>
        <v>102900</v>
      </c>
      <c r="I70" s="16">
        <f t="shared" ref="I70:I71" si="4">D70*(E70-$B$58)*(F70-$B$59)</f>
        <v>0</v>
      </c>
    </row>
    <row r="71" spans="1:9" ht="15.75" thickBot="1" x14ac:dyDescent="0.3">
      <c r="A71" s="1">
        <v>3</v>
      </c>
      <c r="B71" s="1">
        <v>240</v>
      </c>
      <c r="C71" s="1">
        <v>10</v>
      </c>
      <c r="D71" s="1">
        <f t="shared" si="1"/>
        <v>2400</v>
      </c>
      <c r="E71" s="3">
        <v>0</v>
      </c>
      <c r="F71" s="1">
        <v>450</v>
      </c>
      <c r="G71" s="20">
        <f t="shared" si="2"/>
        <v>157792579.77285022</v>
      </c>
      <c r="H71" s="21">
        <f t="shared" si="3"/>
        <v>11519999.999999998</v>
      </c>
      <c r="I71" s="22">
        <f t="shared" si="4"/>
        <v>0</v>
      </c>
    </row>
    <row r="72" spans="1:9" ht="15.75" thickTop="1" x14ac:dyDescent="0.25"/>
    <row r="73" spans="1:9" ht="18.75" x14ac:dyDescent="0.35">
      <c r="A73" t="s">
        <v>28</v>
      </c>
      <c r="B73" s="19">
        <f>SUM(G69:G71)</f>
        <v>427792783.72093022</v>
      </c>
      <c r="C73" t="s">
        <v>30</v>
      </c>
      <c r="E73" s="34"/>
    </row>
    <row r="74" spans="1:9" ht="18.75" x14ac:dyDescent="0.35">
      <c r="A74" t="s">
        <v>29</v>
      </c>
      <c r="B74" s="19">
        <f>SUM(H69:H71)</f>
        <v>54497900</v>
      </c>
      <c r="C74" t="s">
        <v>30</v>
      </c>
    </row>
    <row r="75" spans="1:9" x14ac:dyDescent="0.25">
      <c r="B75" s="19"/>
    </row>
    <row r="76" spans="1:9" x14ac:dyDescent="0.25">
      <c r="A76" s="33" t="s">
        <v>45</v>
      </c>
      <c r="B76" s="19"/>
    </row>
    <row r="77" spans="1:9" x14ac:dyDescent="0.25">
      <c r="B77" s="19"/>
    </row>
    <row r="78" spans="1:9" x14ac:dyDescent="0.25">
      <c r="A78" t="s">
        <v>34</v>
      </c>
      <c r="B78" s="19">
        <v>12000</v>
      </c>
      <c r="C78" t="s">
        <v>34</v>
      </c>
    </row>
    <row r="79" spans="1:9" x14ac:dyDescent="0.25">
      <c r="A79" t="s">
        <v>46</v>
      </c>
      <c r="B79" s="26">
        <f>B78/B51</f>
        <v>0.93023255813953487</v>
      </c>
      <c r="C79" t="s">
        <v>47</v>
      </c>
    </row>
    <row r="81" spans="1:7" x14ac:dyDescent="0.25">
      <c r="A81" s="33" t="s">
        <v>55</v>
      </c>
    </row>
    <row r="83" spans="1:7" x14ac:dyDescent="0.25">
      <c r="A83" s="2" t="s">
        <v>31</v>
      </c>
    </row>
    <row r="84" spans="1:7" x14ac:dyDescent="0.25">
      <c r="A84" s="2"/>
    </row>
    <row r="85" spans="1:7" x14ac:dyDescent="0.25">
      <c r="A85" t="s">
        <v>32</v>
      </c>
      <c r="B85" s="36">
        <f>-12*5*10^6</f>
        <v>-60000000</v>
      </c>
      <c r="C85" t="s">
        <v>35</v>
      </c>
    </row>
    <row r="86" spans="1:7" x14ac:dyDescent="0.25">
      <c r="A86" s="23" t="s">
        <v>33</v>
      </c>
      <c r="B86" s="7">
        <v>0</v>
      </c>
      <c r="C86" t="s">
        <v>35</v>
      </c>
    </row>
    <row r="87" spans="1:7" x14ac:dyDescent="0.25">
      <c r="A87" t="s">
        <v>34</v>
      </c>
      <c r="B87" s="35">
        <v>-55000</v>
      </c>
      <c r="C87" t="s">
        <v>34</v>
      </c>
      <c r="G87" s="24"/>
    </row>
    <row r="88" spans="1:7" x14ac:dyDescent="0.25">
      <c r="A88" s="2"/>
    </row>
    <row r="89" spans="1:7" x14ac:dyDescent="0.25">
      <c r="A89" t="s">
        <v>36</v>
      </c>
      <c r="B89">
        <f>B86/B85*B73/B74</f>
        <v>0</v>
      </c>
      <c r="C89" t="s">
        <v>48</v>
      </c>
      <c r="D89">
        <f>-B87/B51*B73/B85</f>
        <v>-30.398712021513123</v>
      </c>
    </row>
    <row r="91" spans="1:7" x14ac:dyDescent="0.25">
      <c r="A91" s="1" t="s">
        <v>38</v>
      </c>
      <c r="B91" s="1" t="s">
        <v>36</v>
      </c>
    </row>
    <row r="92" spans="1:7" x14ac:dyDescent="0.25">
      <c r="A92" s="1">
        <v>0</v>
      </c>
      <c r="B92" s="31">
        <f>$B$89*A92+$D$89</f>
        <v>-30.398712021513123</v>
      </c>
    </row>
    <row r="93" spans="1:7" x14ac:dyDescent="0.25">
      <c r="A93" s="1">
        <f>350/2</f>
        <v>175</v>
      </c>
      <c r="B93" s="31">
        <f>$B$89*A93+$D$89</f>
        <v>-30.398712021513123</v>
      </c>
    </row>
    <row r="94" spans="1:7" x14ac:dyDescent="0.25">
      <c r="A94" s="2"/>
    </row>
    <row r="95" spans="1:7" x14ac:dyDescent="0.25">
      <c r="A95" s="28" t="s">
        <v>37</v>
      </c>
      <c r="B95" s="29" t="s">
        <v>40</v>
      </c>
      <c r="C95" s="28" t="s">
        <v>39</v>
      </c>
      <c r="D95" s="28" t="s">
        <v>41</v>
      </c>
    </row>
    <row r="96" spans="1:7" x14ac:dyDescent="0.25">
      <c r="A96" s="28" t="s">
        <v>49</v>
      </c>
      <c r="B96" s="30" t="s">
        <v>42</v>
      </c>
      <c r="C96" s="28">
        <v>-193.6</v>
      </c>
      <c r="D96" s="32">
        <f>$B$87/$B$51+$B$85/$B$73*C96</f>
        <v>22.889767315703608</v>
      </c>
    </row>
    <row r="97" spans="1:4" x14ac:dyDescent="0.25">
      <c r="A97" s="28" t="s">
        <v>50</v>
      </c>
      <c r="B97" s="30" t="s">
        <v>42</v>
      </c>
      <c r="C97" s="28">
        <v>256.39999999999998</v>
      </c>
      <c r="D97" s="32">
        <f>$B$87/$B$51+$B$85/$B$73*C97</f>
        <v>-40.224901812547493</v>
      </c>
    </row>
    <row r="98" spans="1:4" x14ac:dyDescent="0.25">
      <c r="B98" s="19"/>
    </row>
    <row r="99" spans="1:4" x14ac:dyDescent="0.25">
      <c r="B99" s="19"/>
    </row>
  </sheetData>
  <mergeCells count="2">
    <mergeCell ref="A3:H4"/>
    <mergeCell ref="D18:G18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06C5-13A0-42CD-AA37-D6FCF371C751}">
  <dimension ref="A1:I79"/>
  <sheetViews>
    <sheetView zoomScaleNormal="100" workbookViewId="0"/>
  </sheetViews>
  <sheetFormatPr defaultRowHeight="15" x14ac:dyDescent="0.25"/>
  <cols>
    <col min="2" max="2" width="11.85546875" customWidth="1"/>
    <col min="4" max="4" width="9.7109375" bestFit="1" customWidth="1"/>
    <col min="5" max="5" width="10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96</v>
      </c>
    </row>
    <row r="3" spans="1:9" ht="16.5" customHeight="1" x14ac:dyDescent="0.25">
      <c r="A3" s="37" t="s">
        <v>52</v>
      </c>
      <c r="B3" s="37"/>
      <c r="C3" s="37"/>
      <c r="D3" s="37"/>
      <c r="E3" s="37"/>
      <c r="F3" s="37"/>
      <c r="G3" s="37"/>
      <c r="H3" s="37"/>
      <c r="I3" s="25"/>
    </row>
    <row r="4" spans="1:9" ht="27.75" customHeight="1" x14ac:dyDescent="0.25">
      <c r="A4" s="38"/>
      <c r="B4" s="38"/>
      <c r="C4" s="38"/>
      <c r="D4" s="38"/>
      <c r="E4" s="38"/>
      <c r="F4" s="38"/>
      <c r="G4" s="38"/>
      <c r="H4" s="38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" t="s">
        <v>2</v>
      </c>
      <c r="F6" s="2" t="s">
        <v>3</v>
      </c>
    </row>
    <row r="23" spans="1:6" x14ac:dyDescent="0.25">
      <c r="A23" s="2" t="s">
        <v>4</v>
      </c>
    </row>
    <row r="24" spans="1:6" ht="18" x14ac:dyDescent="0.35">
      <c r="A24" s="4" t="s">
        <v>5</v>
      </c>
      <c r="B24" s="4" t="s">
        <v>22</v>
      </c>
      <c r="C24" s="4" t="s">
        <v>21</v>
      </c>
      <c r="D24" s="4" t="s">
        <v>20</v>
      </c>
      <c r="E24" s="4" t="s">
        <v>19</v>
      </c>
      <c r="F24" s="4" t="s">
        <v>18</v>
      </c>
    </row>
    <row r="25" spans="1:6" ht="17.25" x14ac:dyDescent="0.25">
      <c r="A25" s="5" t="s">
        <v>12</v>
      </c>
      <c r="B25" s="5" t="s">
        <v>10</v>
      </c>
      <c r="C25" s="5" t="s">
        <v>10</v>
      </c>
      <c r="D25" s="5" t="s">
        <v>11</v>
      </c>
      <c r="E25" s="5" t="s">
        <v>10</v>
      </c>
      <c r="F25" s="5" t="s">
        <v>10</v>
      </c>
    </row>
    <row r="26" spans="1:6" x14ac:dyDescent="0.25">
      <c r="A26" s="3">
        <v>1</v>
      </c>
      <c r="B26" s="3">
        <v>250</v>
      </c>
      <c r="C26" s="3">
        <v>50</v>
      </c>
      <c r="D26" s="3">
        <f>B26*C26</f>
        <v>12500</v>
      </c>
      <c r="E26" s="3">
        <v>0</v>
      </c>
      <c r="F26" s="3">
        <v>25</v>
      </c>
    </row>
    <row r="27" spans="1:6" x14ac:dyDescent="0.25">
      <c r="A27" s="1">
        <v>2</v>
      </c>
      <c r="B27" s="1">
        <v>60</v>
      </c>
      <c r="C27" s="1">
        <v>210</v>
      </c>
      <c r="D27" s="1">
        <f>B27*C27</f>
        <v>12600</v>
      </c>
      <c r="E27" s="3">
        <v>0</v>
      </c>
      <c r="F27" s="1">
        <f>50+210/2</f>
        <v>155</v>
      </c>
    </row>
    <row r="28" spans="1:6" x14ac:dyDescent="0.25">
      <c r="A28" s="1">
        <v>3</v>
      </c>
      <c r="B28" s="1">
        <v>60</v>
      </c>
      <c r="C28" s="1">
        <v>60</v>
      </c>
      <c r="D28" s="1">
        <f>B28*C28/2</f>
        <v>1800</v>
      </c>
      <c r="E28" s="3">
        <f>30+1/3*60</f>
        <v>50</v>
      </c>
      <c r="F28" s="1">
        <f>50+150+60*2/3</f>
        <v>240</v>
      </c>
    </row>
    <row r="29" spans="1:6" x14ac:dyDescent="0.25">
      <c r="A29" s="1">
        <v>4</v>
      </c>
      <c r="B29" s="1">
        <v>60</v>
      </c>
      <c r="C29" s="1">
        <v>60</v>
      </c>
      <c r="D29" s="1">
        <f>B29*C29/2</f>
        <v>1800</v>
      </c>
      <c r="E29" s="3">
        <f>-30-1/3*60</f>
        <v>-50</v>
      </c>
      <c r="F29" s="1">
        <f>50+150+60*2/3</f>
        <v>240</v>
      </c>
    </row>
    <row r="30" spans="1:6" x14ac:dyDescent="0.25">
      <c r="A30" s="1">
        <v>5</v>
      </c>
      <c r="B30" s="1">
        <v>180</v>
      </c>
      <c r="C30" s="1">
        <v>80</v>
      </c>
      <c r="D30" s="1">
        <f>B30*C30</f>
        <v>14400</v>
      </c>
      <c r="E30" s="3">
        <v>0</v>
      </c>
      <c r="F30" s="1">
        <f>50+150+60+40</f>
        <v>300</v>
      </c>
    </row>
    <row r="32" spans="1:6" x14ac:dyDescent="0.25">
      <c r="A32" s="2" t="s">
        <v>16</v>
      </c>
    </row>
    <row r="33" spans="1:3" ht="17.25" x14ac:dyDescent="0.25">
      <c r="A33" t="s">
        <v>0</v>
      </c>
      <c r="B33">
        <f>SUM(D26:D30)</f>
        <v>43100</v>
      </c>
      <c r="C33" t="s">
        <v>17</v>
      </c>
    </row>
    <row r="35" spans="1:3" x14ac:dyDescent="0.25">
      <c r="A35" s="2" t="s">
        <v>14</v>
      </c>
    </row>
    <row r="36" spans="1:3" ht="17.25" x14ac:dyDescent="0.25">
      <c r="A36" t="s">
        <v>8</v>
      </c>
      <c r="B36">
        <f>D26*F26+D27*F27+D28*F28+D29*F29+D30*F30</f>
        <v>7449500</v>
      </c>
      <c r="C36" t="s">
        <v>13</v>
      </c>
    </row>
    <row r="37" spans="1:3" ht="17.25" x14ac:dyDescent="0.25">
      <c r="A37" t="s">
        <v>9</v>
      </c>
      <c r="B37">
        <f>D26*E26+D27*E27+D28*E28+D29*E29+D30*E30</f>
        <v>0</v>
      </c>
      <c r="C37" t="s">
        <v>13</v>
      </c>
    </row>
    <row r="39" spans="1:3" x14ac:dyDescent="0.25">
      <c r="A39" s="2" t="s">
        <v>15</v>
      </c>
    </row>
    <row r="40" spans="1:3" x14ac:dyDescent="0.25">
      <c r="A40" t="s">
        <v>6</v>
      </c>
      <c r="B40" s="6">
        <f>B37/B33</f>
        <v>0</v>
      </c>
      <c r="C40" t="s">
        <v>1</v>
      </c>
    </row>
    <row r="41" spans="1:3" x14ac:dyDescent="0.25">
      <c r="A41" t="s">
        <v>7</v>
      </c>
      <c r="B41" s="6">
        <f>B36/B33</f>
        <v>172.84222737819024</v>
      </c>
      <c r="C41" t="s">
        <v>1</v>
      </c>
    </row>
    <row r="43" spans="1:3" x14ac:dyDescent="0.25">
      <c r="A43" s="2" t="s">
        <v>23</v>
      </c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ht="15.75" thickBot="1" x14ac:dyDescent="0.3">
      <c r="A48" s="2"/>
    </row>
    <row r="49" spans="1:9" ht="18.75" thickTop="1" x14ac:dyDescent="0.35">
      <c r="A49" s="4" t="s">
        <v>5</v>
      </c>
      <c r="B49" s="4" t="s">
        <v>22</v>
      </c>
      <c r="C49" s="4" t="s">
        <v>21</v>
      </c>
      <c r="D49" s="4" t="s">
        <v>20</v>
      </c>
      <c r="E49" s="4" t="s">
        <v>19</v>
      </c>
      <c r="F49" s="9" t="s">
        <v>18</v>
      </c>
      <c r="G49" s="11" t="s">
        <v>25</v>
      </c>
      <c r="H49" s="12" t="s">
        <v>26</v>
      </c>
      <c r="I49" s="13" t="s">
        <v>27</v>
      </c>
    </row>
    <row r="50" spans="1:9" ht="17.25" x14ac:dyDescent="0.25">
      <c r="A50" s="5" t="s">
        <v>12</v>
      </c>
      <c r="B50" s="5" t="s">
        <v>10</v>
      </c>
      <c r="C50" s="5" t="s">
        <v>10</v>
      </c>
      <c r="D50" s="5" t="s">
        <v>11</v>
      </c>
      <c r="E50" s="5" t="s">
        <v>10</v>
      </c>
      <c r="F50" s="10" t="s">
        <v>10</v>
      </c>
      <c r="G50" s="14" t="s">
        <v>24</v>
      </c>
      <c r="H50" s="5" t="s">
        <v>24</v>
      </c>
      <c r="I50" s="15" t="s">
        <v>24</v>
      </c>
    </row>
    <row r="51" spans="1:9" x14ac:dyDescent="0.25">
      <c r="A51" s="3">
        <v>1</v>
      </c>
      <c r="B51" s="3">
        <v>250</v>
      </c>
      <c r="C51" s="3">
        <v>50</v>
      </c>
      <c r="D51" s="3">
        <f>B51*C51</f>
        <v>12500</v>
      </c>
      <c r="E51" s="3">
        <v>0</v>
      </c>
      <c r="F51" s="3">
        <v>25</v>
      </c>
      <c r="G51" s="17">
        <f>1/12*B51*C51^3+D51*(F51-$B$41)^2</f>
        <v>275820719.11847299</v>
      </c>
      <c r="H51" s="18">
        <f>1/12*C51*B51^3+D51*(E51-$B$40)^2</f>
        <v>65104166.666666657</v>
      </c>
      <c r="I51" s="16">
        <f>D51*(E51-$B$40)*(F51-$B$41)</f>
        <v>0</v>
      </c>
    </row>
    <row r="52" spans="1:9" x14ac:dyDescent="0.25">
      <c r="A52" s="1">
        <v>2</v>
      </c>
      <c r="B52" s="1">
        <v>60</v>
      </c>
      <c r="C52" s="1">
        <v>210</v>
      </c>
      <c r="D52" s="1">
        <f>B52*C52</f>
        <v>12600</v>
      </c>
      <c r="E52" s="3">
        <v>0</v>
      </c>
      <c r="F52" s="1">
        <f>50+210/2</f>
        <v>155</v>
      </c>
      <c r="G52" s="17">
        <f t="shared" ref="G52" si="0">1/12*B52*C52^3+D52*(F52-$B$41)^2</f>
        <v>50316147.980469525</v>
      </c>
      <c r="H52" s="18">
        <f t="shared" ref="H52" si="1">1/12*C52*B52^3+D52*(E52-$B$40)^2</f>
        <v>3780000</v>
      </c>
      <c r="I52" s="16">
        <f t="shared" ref="I52" si="2">D52*(E52-$B$40)*(F52-$B$41)</f>
        <v>0</v>
      </c>
    </row>
    <row r="53" spans="1:9" x14ac:dyDescent="0.25">
      <c r="A53" s="1">
        <v>3</v>
      </c>
      <c r="B53" s="1">
        <v>60</v>
      </c>
      <c r="C53" s="1">
        <v>60</v>
      </c>
      <c r="D53" s="1">
        <f>B53*C53/2</f>
        <v>1800</v>
      </c>
      <c r="E53" s="3">
        <f>30+1/3*60</f>
        <v>50</v>
      </c>
      <c r="F53" s="1">
        <f>50+150+60*2/3</f>
        <v>240</v>
      </c>
      <c r="G53" s="17">
        <f>1/36*B53*C53^3+D53*(F53-$B$41)^2</f>
        <v>8478299.5623408593</v>
      </c>
      <c r="H53" s="18">
        <f>1/36*C53*B53^3+D53*(E53-$B$40)^2</f>
        <v>4860000</v>
      </c>
      <c r="I53" s="16">
        <f>1/72*B53^2*C53^2+D53*(E53-$B$40)*(F53-$B$41)</f>
        <v>6224199.5359628778</v>
      </c>
    </row>
    <row r="54" spans="1:9" x14ac:dyDescent="0.25">
      <c r="A54" s="1">
        <v>4</v>
      </c>
      <c r="B54" s="1">
        <v>60</v>
      </c>
      <c r="C54" s="1">
        <v>60</v>
      </c>
      <c r="D54" s="1">
        <f>B54*C54/2</f>
        <v>1800</v>
      </c>
      <c r="E54" s="3">
        <f>-30-1/3*60</f>
        <v>-50</v>
      </c>
      <c r="F54" s="1">
        <f>50+150+60*2/3</f>
        <v>240</v>
      </c>
      <c r="G54" s="17">
        <f>1/36*B54*C54^3+D54*(F54-$B$41)^2</f>
        <v>8478299.5623408593</v>
      </c>
      <c r="H54" s="18">
        <f>1/36*C54*B54^3+D54*(E54-$B$40)^2</f>
        <v>4860000</v>
      </c>
      <c r="I54" s="16">
        <f>-1/72*B54^2*C54^2+D54*(E54-$B$40)*(F54-$B$41)</f>
        <v>-6224199.5359628778</v>
      </c>
    </row>
    <row r="55" spans="1:9" ht="15.75" thickBot="1" x14ac:dyDescent="0.3">
      <c r="A55" s="1">
        <v>5</v>
      </c>
      <c r="B55" s="1">
        <v>180</v>
      </c>
      <c r="C55" s="1">
        <v>80</v>
      </c>
      <c r="D55" s="1">
        <f>B55*C55</f>
        <v>14400</v>
      </c>
      <c r="E55" s="3">
        <v>0</v>
      </c>
      <c r="F55" s="1">
        <f>50+150+60+40</f>
        <v>300</v>
      </c>
      <c r="G55" s="20">
        <f>1/12*B55*C55^3+D55*(F55-$B$41)^2</f>
        <v>240515027.58921415</v>
      </c>
      <c r="H55" s="21">
        <f>1/12*C55*B55^3+D55*(E55-$B$40)^2</f>
        <v>38880000</v>
      </c>
      <c r="I55" s="22">
        <f t="shared" ref="I55" si="3">D55*(E55-$B$40)*(F55-$B$41)</f>
        <v>0</v>
      </c>
    </row>
    <row r="56" spans="1:9" ht="15.75" thickTop="1" x14ac:dyDescent="0.25"/>
    <row r="57" spans="1:9" ht="18.75" x14ac:dyDescent="0.35">
      <c r="A57" t="s">
        <v>28</v>
      </c>
      <c r="B57" s="19">
        <f>SUM(G51:G55)</f>
        <v>583608493.81283832</v>
      </c>
      <c r="C57" t="s">
        <v>30</v>
      </c>
      <c r="F57" s="26"/>
    </row>
    <row r="58" spans="1:9" ht="18.75" x14ac:dyDescent="0.35">
      <c r="A58" t="s">
        <v>29</v>
      </c>
      <c r="B58" s="19">
        <f>SUM(H51:H55)</f>
        <v>117484166.66666666</v>
      </c>
      <c r="C58" t="s">
        <v>30</v>
      </c>
      <c r="F58" s="26"/>
    </row>
    <row r="60" spans="1:9" x14ac:dyDescent="0.25">
      <c r="A60" s="2" t="s">
        <v>31</v>
      </c>
    </row>
    <row r="61" spans="1:9" x14ac:dyDescent="0.25">
      <c r="A61" s="2"/>
    </row>
    <row r="62" spans="1:9" x14ac:dyDescent="0.25">
      <c r="A62" t="s">
        <v>34</v>
      </c>
      <c r="B62" s="35">
        <f>-10000</f>
        <v>-10000</v>
      </c>
      <c r="C62" t="s">
        <v>34</v>
      </c>
    </row>
    <row r="63" spans="1:9" x14ac:dyDescent="0.25">
      <c r="A63" t="s">
        <v>53</v>
      </c>
      <c r="B63" s="7">
        <v>90</v>
      </c>
      <c r="C63" t="s">
        <v>1</v>
      </c>
    </row>
    <row r="64" spans="1:9" x14ac:dyDescent="0.25">
      <c r="A64" t="s">
        <v>54</v>
      </c>
      <c r="B64" s="7">
        <f>50+150+60+80-B41</f>
        <v>167.15777262180976</v>
      </c>
      <c r="C64" t="s">
        <v>1</v>
      </c>
    </row>
    <row r="65" spans="1:7" x14ac:dyDescent="0.25">
      <c r="A65" t="s">
        <v>32</v>
      </c>
      <c r="B65" s="35">
        <f>B62*B64</f>
        <v>-1671577.7262180976</v>
      </c>
      <c r="C65" t="s">
        <v>35</v>
      </c>
    </row>
    <row r="66" spans="1:7" x14ac:dyDescent="0.25">
      <c r="A66" s="23" t="s">
        <v>33</v>
      </c>
      <c r="B66" s="35">
        <f>-B62*B63</f>
        <v>900000</v>
      </c>
      <c r="C66" t="s">
        <v>35</v>
      </c>
    </row>
    <row r="67" spans="1:7" x14ac:dyDescent="0.25">
      <c r="G67" s="24"/>
    </row>
    <row r="68" spans="1:7" x14ac:dyDescent="0.25">
      <c r="A68" s="2"/>
    </row>
    <row r="69" spans="1:7" x14ac:dyDescent="0.25">
      <c r="A69" t="s">
        <v>36</v>
      </c>
      <c r="B69">
        <f>B66/B65*B57/B58</f>
        <v>-2.6745960394298041</v>
      </c>
      <c r="C69" t="s">
        <v>48</v>
      </c>
      <c r="D69" s="6">
        <f>-B62/B33*B57/B65</f>
        <v>-81.00610643526106</v>
      </c>
    </row>
    <row r="71" spans="1:7" x14ac:dyDescent="0.25">
      <c r="A71" s="1" t="s">
        <v>38</v>
      </c>
      <c r="B71" s="1" t="s">
        <v>36</v>
      </c>
    </row>
    <row r="72" spans="1:7" x14ac:dyDescent="0.25">
      <c r="A72" s="1">
        <v>0</v>
      </c>
      <c r="B72" s="31">
        <f>$B$69*A72+D69</f>
        <v>-81.00610643526106</v>
      </c>
    </row>
    <row r="73" spans="1:7" x14ac:dyDescent="0.25">
      <c r="A73" s="1">
        <v>30</v>
      </c>
      <c r="B73" s="31">
        <f>$B$69*A73+D69</f>
        <v>-161.24398761815519</v>
      </c>
    </row>
    <row r="74" spans="1:7" x14ac:dyDescent="0.25">
      <c r="A74" s="2"/>
    </row>
    <row r="75" spans="1:7" x14ac:dyDescent="0.25">
      <c r="A75" s="28" t="s">
        <v>37</v>
      </c>
      <c r="B75" s="29" t="s">
        <v>40</v>
      </c>
      <c r="C75" s="28" t="s">
        <v>39</v>
      </c>
      <c r="D75" s="28" t="s">
        <v>41</v>
      </c>
    </row>
    <row r="76" spans="1:7" x14ac:dyDescent="0.25">
      <c r="A76" s="28" t="s">
        <v>0</v>
      </c>
      <c r="B76" s="30">
        <v>90</v>
      </c>
      <c r="C76" s="28">
        <v>167.16</v>
      </c>
      <c r="D76" s="32">
        <f>$B$62/$B$33+$B$65/$B$57*C76-$B$66/$B$58*B76</f>
        <v>-1.4002546390873918</v>
      </c>
    </row>
    <row r="77" spans="1:7" x14ac:dyDescent="0.25">
      <c r="A77" s="28" t="s">
        <v>43</v>
      </c>
      <c r="B77" s="30">
        <v>-125</v>
      </c>
      <c r="C77" s="28">
        <v>-172.84</v>
      </c>
      <c r="D77" s="32">
        <f>$B$62/$B$33+$B$65/$B$57*C77-$B$66/$B$58*B77</f>
        <v>1.2206074694157933</v>
      </c>
    </row>
    <row r="78" spans="1:7" x14ac:dyDescent="0.25">
      <c r="B78" s="19"/>
    </row>
    <row r="79" spans="1:7" x14ac:dyDescent="0.25">
      <c r="B79" s="19"/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92B3-8875-4A2E-B69D-B6D521F8ABC6}">
  <dimension ref="A1:I78"/>
  <sheetViews>
    <sheetView zoomScaleNormal="100" workbookViewId="0"/>
  </sheetViews>
  <sheetFormatPr defaultRowHeight="15" x14ac:dyDescent="0.25"/>
  <cols>
    <col min="2" max="2" width="11.85546875" customWidth="1"/>
    <col min="4" max="4" width="11" bestFit="1" customWidth="1"/>
    <col min="5" max="5" width="10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97</v>
      </c>
    </row>
    <row r="3" spans="1:9" ht="16.5" customHeight="1" x14ac:dyDescent="0.25">
      <c r="A3" s="37" t="s">
        <v>57</v>
      </c>
      <c r="B3" s="37"/>
      <c r="C3" s="37"/>
      <c r="D3" s="37"/>
      <c r="E3" s="37"/>
      <c r="F3" s="37"/>
      <c r="G3" s="37"/>
      <c r="H3" s="37"/>
      <c r="I3" s="25"/>
    </row>
    <row r="4" spans="1:9" ht="46.5" customHeight="1" x14ac:dyDescent="0.25">
      <c r="A4" s="38"/>
      <c r="B4" s="38"/>
      <c r="C4" s="38"/>
      <c r="D4" s="38"/>
      <c r="E4" s="38"/>
      <c r="F4" s="38"/>
      <c r="G4" s="38"/>
      <c r="H4" s="38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" t="s">
        <v>2</v>
      </c>
      <c r="F6" s="2" t="s">
        <v>3</v>
      </c>
    </row>
    <row r="23" spans="1:6" x14ac:dyDescent="0.25">
      <c r="A23" s="2" t="s">
        <v>4</v>
      </c>
    </row>
    <row r="24" spans="1:6" ht="18" x14ac:dyDescent="0.35">
      <c r="A24" s="4" t="s">
        <v>5</v>
      </c>
      <c r="B24" s="4" t="s">
        <v>22</v>
      </c>
      <c r="C24" s="4" t="s">
        <v>21</v>
      </c>
      <c r="D24" s="4" t="s">
        <v>20</v>
      </c>
      <c r="E24" s="4" t="s">
        <v>19</v>
      </c>
      <c r="F24" s="4" t="s">
        <v>18</v>
      </c>
    </row>
    <row r="25" spans="1:6" ht="17.25" x14ac:dyDescent="0.25">
      <c r="A25" s="5" t="s">
        <v>12</v>
      </c>
      <c r="B25" s="5" t="s">
        <v>10</v>
      </c>
      <c r="C25" s="5" t="s">
        <v>10</v>
      </c>
      <c r="D25" s="5" t="s">
        <v>11</v>
      </c>
      <c r="E25" s="5" t="s">
        <v>10</v>
      </c>
      <c r="F25" s="5" t="s">
        <v>10</v>
      </c>
    </row>
    <row r="26" spans="1:6" x14ac:dyDescent="0.25">
      <c r="A26" s="3">
        <v>1</v>
      </c>
      <c r="B26" s="3">
        <v>150</v>
      </c>
      <c r="C26" s="3">
        <v>80</v>
      </c>
      <c r="D26" s="3">
        <f>B26*C26</f>
        <v>12000</v>
      </c>
      <c r="E26" s="3">
        <f>150+150/2</f>
        <v>225</v>
      </c>
      <c r="F26" s="3">
        <f>80+320+40</f>
        <v>440</v>
      </c>
    </row>
    <row r="27" spans="1:6" x14ac:dyDescent="0.25">
      <c r="A27" s="1">
        <v>2</v>
      </c>
      <c r="B27" s="3">
        <v>60</v>
      </c>
      <c r="C27" s="3">
        <v>320</v>
      </c>
      <c r="D27" s="3">
        <f t="shared" ref="D27:D30" si="0">B27*C27</f>
        <v>19200</v>
      </c>
      <c r="E27" s="3">
        <f>150+30</f>
        <v>180</v>
      </c>
      <c r="F27" s="1">
        <f>80+320/2</f>
        <v>240</v>
      </c>
    </row>
    <row r="28" spans="1:6" x14ac:dyDescent="0.25">
      <c r="A28" s="1">
        <v>3</v>
      </c>
      <c r="B28" s="3">
        <v>420</v>
      </c>
      <c r="C28" s="3">
        <v>80</v>
      </c>
      <c r="D28" s="3">
        <f t="shared" si="0"/>
        <v>33600</v>
      </c>
      <c r="E28" s="3">
        <v>0</v>
      </c>
      <c r="F28" s="1">
        <v>40</v>
      </c>
    </row>
    <row r="29" spans="1:6" x14ac:dyDescent="0.25">
      <c r="A29" s="1">
        <v>4</v>
      </c>
      <c r="B29" s="3">
        <v>60</v>
      </c>
      <c r="C29" s="3">
        <v>320</v>
      </c>
      <c r="D29" s="3">
        <f t="shared" si="0"/>
        <v>19200</v>
      </c>
      <c r="E29" s="3">
        <f>-150-30</f>
        <v>-180</v>
      </c>
      <c r="F29" s="1">
        <f>80+320/2</f>
        <v>240</v>
      </c>
    </row>
    <row r="30" spans="1:6" x14ac:dyDescent="0.25">
      <c r="A30" s="1">
        <v>5</v>
      </c>
      <c r="B30" s="3">
        <v>150</v>
      </c>
      <c r="C30" s="3">
        <v>80</v>
      </c>
      <c r="D30" s="3">
        <f t="shared" si="0"/>
        <v>12000</v>
      </c>
      <c r="E30" s="3">
        <f>-150-150/2</f>
        <v>-225</v>
      </c>
      <c r="F30" s="1">
        <f>80+320+40</f>
        <v>440</v>
      </c>
    </row>
    <row r="32" spans="1:6" x14ac:dyDescent="0.25">
      <c r="A32" s="2" t="s">
        <v>16</v>
      </c>
    </row>
    <row r="33" spans="1:3" ht="17.25" x14ac:dyDescent="0.25">
      <c r="A33" t="s">
        <v>0</v>
      </c>
      <c r="B33">
        <f>SUM(D26:D30)</f>
        <v>96000</v>
      </c>
      <c r="C33" t="s">
        <v>17</v>
      </c>
    </row>
    <row r="35" spans="1:3" x14ac:dyDescent="0.25">
      <c r="A35" s="2" t="s">
        <v>14</v>
      </c>
    </row>
    <row r="36" spans="1:3" ht="17.25" x14ac:dyDescent="0.25">
      <c r="A36" t="s">
        <v>8</v>
      </c>
      <c r="B36">
        <f>D26*F26+D27*F27+D28*F28+D29*F29+D30*F30</f>
        <v>21120000</v>
      </c>
      <c r="C36" t="s">
        <v>13</v>
      </c>
    </row>
    <row r="37" spans="1:3" ht="17.25" x14ac:dyDescent="0.25">
      <c r="A37" t="s">
        <v>9</v>
      </c>
      <c r="B37">
        <f>D26*E26+D27*E27+D28*E28+D29*E29+D30*E30</f>
        <v>0</v>
      </c>
      <c r="C37" t="s">
        <v>13</v>
      </c>
    </row>
    <row r="39" spans="1:3" x14ac:dyDescent="0.25">
      <c r="A39" s="2" t="s">
        <v>15</v>
      </c>
    </row>
    <row r="40" spans="1:3" x14ac:dyDescent="0.25">
      <c r="A40" t="s">
        <v>6</v>
      </c>
      <c r="B40" s="6">
        <f>B37/B33</f>
        <v>0</v>
      </c>
      <c r="C40" t="s">
        <v>1</v>
      </c>
    </row>
    <row r="41" spans="1:3" x14ac:dyDescent="0.25">
      <c r="A41" t="s">
        <v>7</v>
      </c>
      <c r="B41" s="6">
        <f>B36/B33</f>
        <v>220</v>
      </c>
      <c r="C41" t="s">
        <v>1</v>
      </c>
    </row>
    <row r="43" spans="1:3" x14ac:dyDescent="0.25">
      <c r="A43" s="2" t="s">
        <v>23</v>
      </c>
    </row>
    <row r="44" spans="1:3" x14ac:dyDescent="0.25">
      <c r="A44" s="2"/>
    </row>
    <row r="45" spans="1:3" x14ac:dyDescent="0.25">
      <c r="A45" s="2"/>
    </row>
    <row r="46" spans="1:3" x14ac:dyDescent="0.25">
      <c r="A46" s="2"/>
    </row>
    <row r="47" spans="1:3" x14ac:dyDescent="0.25">
      <c r="A47" s="2"/>
    </row>
    <row r="48" spans="1:3" ht="15.75" thickBot="1" x14ac:dyDescent="0.3">
      <c r="A48" s="2"/>
    </row>
    <row r="49" spans="1:9" ht="18.75" thickTop="1" x14ac:dyDescent="0.35">
      <c r="A49" s="4" t="s">
        <v>5</v>
      </c>
      <c r="B49" s="4" t="s">
        <v>22</v>
      </c>
      <c r="C49" s="4" t="s">
        <v>21</v>
      </c>
      <c r="D49" s="4" t="s">
        <v>20</v>
      </c>
      <c r="E49" s="4" t="s">
        <v>19</v>
      </c>
      <c r="F49" s="9" t="s">
        <v>18</v>
      </c>
      <c r="G49" s="11" t="s">
        <v>25</v>
      </c>
      <c r="H49" s="12" t="s">
        <v>26</v>
      </c>
      <c r="I49" s="13" t="s">
        <v>27</v>
      </c>
    </row>
    <row r="50" spans="1:9" ht="17.25" x14ac:dyDescent="0.25">
      <c r="A50" s="5" t="s">
        <v>12</v>
      </c>
      <c r="B50" s="5" t="s">
        <v>10</v>
      </c>
      <c r="C50" s="5" t="s">
        <v>10</v>
      </c>
      <c r="D50" s="5" t="s">
        <v>11</v>
      </c>
      <c r="E50" s="5" t="s">
        <v>10</v>
      </c>
      <c r="F50" s="10" t="s">
        <v>10</v>
      </c>
      <c r="G50" s="14" t="s">
        <v>24</v>
      </c>
      <c r="H50" s="5" t="s">
        <v>24</v>
      </c>
      <c r="I50" s="15" t="s">
        <v>24</v>
      </c>
    </row>
    <row r="51" spans="1:9" x14ac:dyDescent="0.25">
      <c r="A51" s="3">
        <v>1</v>
      </c>
      <c r="B51" s="3">
        <v>150</v>
      </c>
      <c r="C51" s="3">
        <v>80</v>
      </c>
      <c r="D51" s="3">
        <f>B51*C51</f>
        <v>12000</v>
      </c>
      <c r="E51" s="3">
        <f>150+150/2</f>
        <v>225</v>
      </c>
      <c r="F51" s="3">
        <f>80+320+40</f>
        <v>440</v>
      </c>
      <c r="G51" s="17">
        <f>1/12*B51*C51^3+D51*(F51-$B$41)^2</f>
        <v>587200000</v>
      </c>
      <c r="H51" s="18">
        <f>1/12*C51*B51^3+D51*(E51-$B$40)^2</f>
        <v>630000000</v>
      </c>
      <c r="I51" s="16">
        <f>D51*(E51-$B$40)*(F51-$B$41)</f>
        <v>594000000</v>
      </c>
    </row>
    <row r="52" spans="1:9" x14ac:dyDescent="0.25">
      <c r="A52" s="1">
        <v>2</v>
      </c>
      <c r="B52" s="3">
        <v>60</v>
      </c>
      <c r="C52" s="3">
        <v>320</v>
      </c>
      <c r="D52" s="3">
        <f t="shared" ref="D52:D55" si="1">B52*C52</f>
        <v>19200</v>
      </c>
      <c r="E52" s="3">
        <f>150+30</f>
        <v>180</v>
      </c>
      <c r="F52" s="1">
        <f>80+320/2</f>
        <v>240</v>
      </c>
      <c r="G52" s="17">
        <f t="shared" ref="G52" si="2">1/12*B52*C52^3+D52*(F52-$B$41)^2</f>
        <v>171520000</v>
      </c>
      <c r="H52" s="18">
        <f t="shared" ref="H52" si="3">1/12*C52*B52^3+D52*(E52-$B$40)^2</f>
        <v>627840000</v>
      </c>
      <c r="I52" s="16">
        <f t="shared" ref="I52" si="4">D52*(E52-$B$40)*(F52-$B$41)</f>
        <v>69120000</v>
      </c>
    </row>
    <row r="53" spans="1:9" x14ac:dyDescent="0.25">
      <c r="A53" s="1">
        <v>3</v>
      </c>
      <c r="B53" s="3">
        <v>420</v>
      </c>
      <c r="C53" s="3">
        <v>80</v>
      </c>
      <c r="D53" s="3">
        <f t="shared" si="1"/>
        <v>33600</v>
      </c>
      <c r="E53" s="3">
        <v>0</v>
      </c>
      <c r="F53" s="1">
        <v>40</v>
      </c>
      <c r="G53" s="17">
        <f t="shared" ref="G53:G54" si="5">1/12*B53*C53^3+D53*(F53-$B$41)^2</f>
        <v>1106560000</v>
      </c>
      <c r="H53" s="18">
        <f t="shared" ref="H53:H54" si="6">1/12*C53*B53^3+D53*(E53-$B$40)^2</f>
        <v>493919999.99999994</v>
      </c>
      <c r="I53" s="16">
        <f t="shared" ref="I53:I54" si="7">D53*(E53-$B$40)*(F53-$B$41)</f>
        <v>0</v>
      </c>
    </row>
    <row r="54" spans="1:9" x14ac:dyDescent="0.25">
      <c r="A54" s="1">
        <v>4</v>
      </c>
      <c r="B54" s="3">
        <v>60</v>
      </c>
      <c r="C54" s="3">
        <v>320</v>
      </c>
      <c r="D54" s="3">
        <f t="shared" si="1"/>
        <v>19200</v>
      </c>
      <c r="E54" s="3">
        <f>-150-30</f>
        <v>-180</v>
      </c>
      <c r="F54" s="1">
        <f>80+320/2</f>
        <v>240</v>
      </c>
      <c r="G54" s="17">
        <f t="shared" si="5"/>
        <v>171520000</v>
      </c>
      <c r="H54" s="18">
        <f t="shared" si="6"/>
        <v>627840000</v>
      </c>
      <c r="I54" s="16">
        <f t="shared" si="7"/>
        <v>-69120000</v>
      </c>
    </row>
    <row r="55" spans="1:9" ht="15.75" thickBot="1" x14ac:dyDescent="0.3">
      <c r="A55" s="1">
        <v>5</v>
      </c>
      <c r="B55" s="3">
        <v>150</v>
      </c>
      <c r="C55" s="3">
        <v>80</v>
      </c>
      <c r="D55" s="3">
        <f t="shared" si="1"/>
        <v>12000</v>
      </c>
      <c r="E55" s="3">
        <f>-150-150/2</f>
        <v>-225</v>
      </c>
      <c r="F55" s="1">
        <f>80+320+40</f>
        <v>440</v>
      </c>
      <c r="G55" s="20">
        <f>1/12*B55*C55^3+D55*(F55-$B$41)^2</f>
        <v>587200000</v>
      </c>
      <c r="H55" s="21">
        <f>1/12*C55*B55^3+D55*(E55-$B$40)^2</f>
        <v>630000000</v>
      </c>
      <c r="I55" s="22">
        <f t="shared" ref="I55" si="8">D55*(E55-$B$40)*(F55-$B$41)</f>
        <v>-594000000</v>
      </c>
    </row>
    <row r="56" spans="1:9" ht="15.75" thickTop="1" x14ac:dyDescent="0.25"/>
    <row r="57" spans="1:9" ht="15.75" customHeight="1" x14ac:dyDescent="0.35">
      <c r="A57" t="s">
        <v>28</v>
      </c>
      <c r="B57" s="19">
        <f>SUM(G51:G55)</f>
        <v>2624000000</v>
      </c>
      <c r="C57" t="s">
        <v>30</v>
      </c>
    </row>
    <row r="58" spans="1:9" ht="15" customHeight="1" x14ac:dyDescent="0.35">
      <c r="A58" t="s">
        <v>29</v>
      </c>
      <c r="B58" s="19">
        <f>SUM(H51:H55)</f>
        <v>3009600000</v>
      </c>
      <c r="C58" t="s">
        <v>30</v>
      </c>
    </row>
    <row r="60" spans="1:9" x14ac:dyDescent="0.25">
      <c r="A60" s="2" t="s">
        <v>31</v>
      </c>
    </row>
    <row r="61" spans="1:9" x14ac:dyDescent="0.25">
      <c r="A61" s="2"/>
    </row>
    <row r="62" spans="1:9" x14ac:dyDescent="0.25">
      <c r="A62" t="s">
        <v>34</v>
      </c>
      <c r="B62" s="35">
        <f>200*1000</f>
        <v>200000</v>
      </c>
      <c r="C62" t="s">
        <v>34</v>
      </c>
    </row>
    <row r="63" spans="1:9" x14ac:dyDescent="0.25">
      <c r="A63" t="s">
        <v>56</v>
      </c>
      <c r="B63" s="35">
        <f>0.75*5^2/8*10^9</f>
        <v>2343750000</v>
      </c>
      <c r="D63" s="6">
        <f>B63/1000000</f>
        <v>2343.75</v>
      </c>
    </row>
    <row r="64" spans="1:9" x14ac:dyDescent="0.25">
      <c r="A64" t="s">
        <v>32</v>
      </c>
      <c r="B64" s="35">
        <f>B63*COS(15*PI()/180)</f>
        <v>2263888655.3650041</v>
      </c>
      <c r="C64" t="s">
        <v>35</v>
      </c>
      <c r="D64" s="6"/>
    </row>
    <row r="65" spans="1:7" x14ac:dyDescent="0.25">
      <c r="A65" s="23" t="s">
        <v>33</v>
      </c>
      <c r="B65" s="35">
        <f>B63*SIN(15*PI()/180)</f>
        <v>606607136.95903301</v>
      </c>
      <c r="C65" t="s">
        <v>35</v>
      </c>
    </row>
    <row r="66" spans="1:7" x14ac:dyDescent="0.25">
      <c r="G66" s="24"/>
    </row>
    <row r="67" spans="1:7" x14ac:dyDescent="0.25">
      <c r="A67" s="2"/>
    </row>
    <row r="68" spans="1:7" x14ac:dyDescent="0.25">
      <c r="A68" t="s">
        <v>36</v>
      </c>
      <c r="B68" s="35">
        <f>B65/B64*B57/B58</f>
        <v>0.23361864730836851</v>
      </c>
      <c r="C68" t="s">
        <v>48</v>
      </c>
      <c r="D68" s="35">
        <f>-B62/B33*B57/B64</f>
        <v>-2.4147241754631623</v>
      </c>
    </row>
    <row r="70" spans="1:7" x14ac:dyDescent="0.25">
      <c r="A70" s="1" t="s">
        <v>38</v>
      </c>
      <c r="B70" s="1" t="s">
        <v>36</v>
      </c>
    </row>
    <row r="71" spans="1:7" x14ac:dyDescent="0.25">
      <c r="A71" s="1">
        <v>0</v>
      </c>
      <c r="B71" s="31">
        <f>$B$68*A71+D68</f>
        <v>-2.4147241754631623</v>
      </c>
    </row>
    <row r="72" spans="1:7" x14ac:dyDescent="0.25">
      <c r="A72" s="1">
        <v>300</v>
      </c>
      <c r="B72" s="31">
        <f>$B$68*A72+D68</f>
        <v>67.670870017047392</v>
      </c>
    </row>
    <row r="73" spans="1:7" x14ac:dyDescent="0.25">
      <c r="A73" s="2"/>
    </row>
    <row r="74" spans="1:7" x14ac:dyDescent="0.25">
      <c r="A74" s="28" t="s">
        <v>37</v>
      </c>
      <c r="B74" s="29" t="s">
        <v>40</v>
      </c>
      <c r="C74" s="28" t="s">
        <v>39</v>
      </c>
      <c r="D74" s="28" t="s">
        <v>41</v>
      </c>
    </row>
    <row r="75" spans="1:7" x14ac:dyDescent="0.25">
      <c r="A75" s="28" t="s">
        <v>0</v>
      </c>
      <c r="B75" s="30">
        <v>210</v>
      </c>
      <c r="C75" s="28">
        <v>-220</v>
      </c>
      <c r="D75" s="32">
        <f>$B$62/$B$33+$B$64/$B$57*C75-$B$65/$B$58*B75</f>
        <v>-230.0514575577333</v>
      </c>
    </row>
    <row r="76" spans="1:7" x14ac:dyDescent="0.25">
      <c r="A76" s="28" t="s">
        <v>43</v>
      </c>
      <c r="B76" s="30">
        <v>-300</v>
      </c>
      <c r="C76" s="28">
        <v>260</v>
      </c>
      <c r="D76" s="32">
        <f>$B$62/$B$33+$B$64/$B$57*C76-$B$65/$B$58*B76</f>
        <v>286.86878759851669</v>
      </c>
    </row>
    <row r="77" spans="1:7" x14ac:dyDescent="0.25">
      <c r="B77" s="19"/>
    </row>
    <row r="78" spans="1:7" x14ac:dyDescent="0.25">
      <c r="B78" s="19"/>
    </row>
  </sheetData>
  <mergeCells count="1">
    <mergeCell ref="A3:H4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EFEC9-75E4-4480-A9A2-E78D716B832A}">
  <dimension ref="A1:I66"/>
  <sheetViews>
    <sheetView zoomScaleNormal="100" workbookViewId="0">
      <selection activeCell="I12" sqref="I12"/>
    </sheetView>
  </sheetViews>
  <sheetFormatPr defaultRowHeight="15" x14ac:dyDescent="0.25"/>
  <cols>
    <col min="2" max="2" width="11.85546875" customWidth="1"/>
    <col min="3" max="3" width="10.140625" customWidth="1"/>
    <col min="4" max="4" width="9.7109375" bestFit="1" customWidth="1"/>
    <col min="5" max="5" width="10" bestFit="1" customWidth="1"/>
    <col min="7" max="7" width="13.140625" bestFit="1" customWidth="1"/>
    <col min="8" max="8" width="11.85546875" customWidth="1"/>
    <col min="9" max="9" width="10.42578125" bestFit="1" customWidth="1"/>
  </cols>
  <sheetData>
    <row r="1" spans="1:9" x14ac:dyDescent="0.25">
      <c r="A1" s="8" t="s">
        <v>98</v>
      </c>
    </row>
    <row r="3" spans="1:9" ht="16.5" customHeight="1" x14ac:dyDescent="0.25">
      <c r="A3" s="37" t="s">
        <v>85</v>
      </c>
      <c r="B3" s="37"/>
      <c r="C3" s="37"/>
      <c r="D3" s="37"/>
      <c r="E3" s="37"/>
      <c r="F3" s="37"/>
      <c r="G3" s="37"/>
      <c r="H3" s="37"/>
      <c r="I3" s="25"/>
    </row>
    <row r="4" spans="1:9" ht="47.25" customHeight="1" x14ac:dyDescent="0.25">
      <c r="A4" s="38"/>
      <c r="B4" s="38"/>
      <c r="C4" s="38"/>
      <c r="D4" s="38"/>
      <c r="E4" s="38"/>
      <c r="F4" s="38"/>
      <c r="G4" s="38"/>
      <c r="H4" s="38"/>
      <c r="I4" s="25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5"/>
    </row>
    <row r="6" spans="1:9" x14ac:dyDescent="0.25">
      <c r="A6" s="2" t="s">
        <v>2</v>
      </c>
      <c r="F6" s="2"/>
    </row>
    <row r="23" spans="1:4" x14ac:dyDescent="0.25">
      <c r="A23" s="33" t="s">
        <v>58</v>
      </c>
    </row>
    <row r="24" spans="1:4" x14ac:dyDescent="0.25">
      <c r="A24" s="33"/>
    </row>
    <row r="25" spans="1:4" x14ac:dyDescent="0.25">
      <c r="A25" s="2" t="s">
        <v>59</v>
      </c>
    </row>
    <row r="26" spans="1:4" x14ac:dyDescent="0.25">
      <c r="A26" s="2"/>
    </row>
    <row r="27" spans="1:4" x14ac:dyDescent="0.25">
      <c r="A27" s="1" t="s">
        <v>60</v>
      </c>
      <c r="B27" s="1" t="s">
        <v>61</v>
      </c>
      <c r="C27" s="1" t="s">
        <v>64</v>
      </c>
    </row>
    <row r="28" spans="1:4" x14ac:dyDescent="0.25">
      <c r="A28" s="1">
        <v>1</v>
      </c>
      <c r="B28" s="1">
        <f>0.8*1*3*27</f>
        <v>64.800000000000011</v>
      </c>
      <c r="C28" s="1">
        <v>0</v>
      </c>
      <c r="D28" t="s">
        <v>62</v>
      </c>
    </row>
    <row r="29" spans="1:4" x14ac:dyDescent="0.25">
      <c r="A29" s="1">
        <v>2</v>
      </c>
      <c r="B29" s="31">
        <f>30*SIN(60*PI()/180)</f>
        <v>25.980762113533157</v>
      </c>
      <c r="C29" s="1">
        <f>400-150</f>
        <v>250</v>
      </c>
      <c r="D29" t="s">
        <v>63</v>
      </c>
    </row>
    <row r="30" spans="1:4" x14ac:dyDescent="0.25">
      <c r="A30" s="1">
        <v>3</v>
      </c>
      <c r="B30" s="1">
        <f>30*COS(60*PI()/180)</f>
        <v>15.000000000000004</v>
      </c>
      <c r="C30" s="1">
        <v>3000</v>
      </c>
      <c r="D30" t="s">
        <v>65</v>
      </c>
    </row>
    <row r="32" spans="1:4" x14ac:dyDescent="0.25">
      <c r="A32" t="s">
        <v>34</v>
      </c>
      <c r="B32" s="6">
        <f>(-B28-B29-B30)*1000</f>
        <v>-105780.76211353317</v>
      </c>
      <c r="C32" t="s">
        <v>34</v>
      </c>
    </row>
    <row r="33" spans="1:4" x14ac:dyDescent="0.25">
      <c r="A33" t="s">
        <v>33</v>
      </c>
      <c r="B33">
        <f>(B30*C30-B29*C29)*1000</f>
        <v>38504809.471616715</v>
      </c>
      <c r="C33" t="s">
        <v>35</v>
      </c>
      <c r="D33" t="s">
        <v>66</v>
      </c>
    </row>
    <row r="35" spans="1:4" x14ac:dyDescent="0.25">
      <c r="A35" s="2" t="s">
        <v>67</v>
      </c>
    </row>
    <row r="36" spans="1:4" x14ac:dyDescent="0.25">
      <c r="A36" s="2"/>
    </row>
    <row r="37" spans="1:4" x14ac:dyDescent="0.25">
      <c r="A37" t="s">
        <v>0</v>
      </c>
      <c r="B37" s="35">
        <f>1000*800</f>
        <v>800000</v>
      </c>
      <c r="C37" t="s">
        <v>70</v>
      </c>
    </row>
    <row r="38" spans="1:4" x14ac:dyDescent="0.25">
      <c r="A38" t="s">
        <v>68</v>
      </c>
      <c r="B38">
        <f>1/12*1000*800^3</f>
        <v>42666666666.666664</v>
      </c>
      <c r="C38" t="s">
        <v>69</v>
      </c>
    </row>
    <row r="40" spans="1:4" x14ac:dyDescent="0.25">
      <c r="A40" s="1" t="s">
        <v>40</v>
      </c>
      <c r="B40" s="1" t="s">
        <v>71</v>
      </c>
    </row>
    <row r="41" spans="1:4" x14ac:dyDescent="0.25">
      <c r="A41" s="1">
        <v>400</v>
      </c>
      <c r="B41" s="31">
        <f>B32/B37-B33/B38*A41</f>
        <v>-0.49320854143832327</v>
      </c>
    </row>
    <row r="42" spans="1:4" x14ac:dyDescent="0.25">
      <c r="A42" s="1">
        <v>-400</v>
      </c>
      <c r="B42" s="31">
        <f>B32/B37-B33/B38*A42</f>
        <v>0.22875663615449029</v>
      </c>
    </row>
    <row r="44" spans="1:4" x14ac:dyDescent="0.25">
      <c r="A44" t="s">
        <v>72</v>
      </c>
    </row>
    <row r="45" spans="1:4" x14ac:dyDescent="0.25">
      <c r="A45" t="s">
        <v>73</v>
      </c>
    </row>
    <row r="47" spans="1:4" x14ac:dyDescent="0.25">
      <c r="A47" s="2" t="s">
        <v>79</v>
      </c>
    </row>
    <row r="49" spans="1:8" x14ac:dyDescent="0.25">
      <c r="A49" t="s">
        <v>74</v>
      </c>
      <c r="B49" s="6">
        <f>ABS(B33/B32)</f>
        <v>364.00578613992195</v>
      </c>
      <c r="C49" t="s">
        <v>1</v>
      </c>
      <c r="D49" t="s">
        <v>75</v>
      </c>
    </row>
    <row r="50" spans="1:8" x14ac:dyDescent="0.25">
      <c r="A50" t="s">
        <v>46</v>
      </c>
      <c r="B50" s="6">
        <f>2*(B32)/(3*(400-B49)*1000)</f>
        <v>-1.959217899572036</v>
      </c>
      <c r="C50" t="s">
        <v>47</v>
      </c>
      <c r="D50" t="s">
        <v>76</v>
      </c>
    </row>
    <row r="51" spans="1:8" x14ac:dyDescent="0.25">
      <c r="A51" t="s">
        <v>77</v>
      </c>
      <c r="B51" s="6">
        <f>3*(400-B49)</f>
        <v>107.98264158023414</v>
      </c>
      <c r="C51" t="s">
        <v>1</v>
      </c>
      <c r="D51" t="s">
        <v>78</v>
      </c>
    </row>
    <row r="53" spans="1:8" x14ac:dyDescent="0.25">
      <c r="A53" s="2"/>
    </row>
    <row r="54" spans="1:8" x14ac:dyDescent="0.25">
      <c r="A54" s="33" t="s">
        <v>80</v>
      </c>
    </row>
    <row r="56" spans="1:8" ht="28.5" customHeight="1" x14ac:dyDescent="0.25">
      <c r="A56" s="40" t="s">
        <v>81</v>
      </c>
      <c r="B56" s="40"/>
      <c r="C56" s="40"/>
      <c r="D56" s="40"/>
      <c r="E56" s="40"/>
      <c r="F56" s="40"/>
      <c r="G56" s="40"/>
      <c r="H56" s="40"/>
    </row>
    <row r="58" spans="1:8" x14ac:dyDescent="0.25">
      <c r="A58" t="s">
        <v>82</v>
      </c>
      <c r="B58" s="35">
        <f>B33/B38*B37*-400</f>
        <v>-288786.07103712537</v>
      </c>
      <c r="C58" t="s">
        <v>34</v>
      </c>
    </row>
    <row r="60" spans="1:8" x14ac:dyDescent="0.25">
      <c r="A60" t="s">
        <v>83</v>
      </c>
      <c r="B60" s="35">
        <f>B58-B32</f>
        <v>-183005.30892359221</v>
      </c>
      <c r="C60" t="s">
        <v>34</v>
      </c>
    </row>
    <row r="62" spans="1:8" x14ac:dyDescent="0.25">
      <c r="A62" t="s">
        <v>84</v>
      </c>
    </row>
    <row r="64" spans="1:8" x14ac:dyDescent="0.25">
      <c r="A64" s="1" t="s">
        <v>40</v>
      </c>
      <c r="B64" s="1" t="s">
        <v>71</v>
      </c>
    </row>
    <row r="65" spans="1:2" x14ac:dyDescent="0.25">
      <c r="A65" s="1">
        <v>400</v>
      </c>
      <c r="B65" s="31">
        <f>B58/B37-B33/B38*A65</f>
        <v>-0.72196517759281353</v>
      </c>
    </row>
    <row r="66" spans="1:2" x14ac:dyDescent="0.25">
      <c r="A66" s="1">
        <v>-400</v>
      </c>
      <c r="B66" s="31">
        <f>B58/B37-B33/B38*A66</f>
        <v>0</v>
      </c>
    </row>
  </sheetData>
  <mergeCells count="2">
    <mergeCell ref="A3:H4"/>
    <mergeCell ref="A56:H56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Foglio2</vt:lpstr>
      <vt:lpstr>Foglio3</vt:lpstr>
      <vt:lpstr>Foglio4</vt:lpstr>
      <vt:lpstr>Foglio5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Nicola Cefis</cp:lastModifiedBy>
  <cp:lastPrinted>2019-11-12T20:13:25Z</cp:lastPrinted>
  <dcterms:created xsi:type="dcterms:W3CDTF">2018-11-28T12:12:14Z</dcterms:created>
  <dcterms:modified xsi:type="dcterms:W3CDTF">2024-04-24T18:27:27Z</dcterms:modified>
</cp:coreProperties>
</file>